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626"/>
  <workbookPr codeName="ThisWorkbook" hidePivotFieldList="1" defaultThemeVersion="124226"/>
  <mc:AlternateContent xmlns:mc="http://schemas.openxmlformats.org/markup-compatibility/2006">
    <mc:Choice Requires="x15">
      <x15ac:absPath xmlns:x15ac="http://schemas.microsoft.com/office/spreadsheetml/2010/11/ac" url="C:\Users\adam\Desktop\AB Laptop 010322\Documents\Website Documents\"/>
    </mc:Choice>
  </mc:AlternateContent>
  <xr:revisionPtr revIDLastSave="0" documentId="13_ncr:40009_{13F60123-1FE3-49D5-90B1-033E926C9254}" xr6:coauthVersionLast="47" xr6:coauthVersionMax="47" xr10:uidLastSave="{00000000-0000-0000-0000-000000000000}"/>
  <bookViews>
    <workbookView xWindow="-110" yWindow="-110" windowWidth="19420" windowHeight="10420" tabRatio="639"/>
  </bookViews>
  <sheets>
    <sheet name="Guide" sheetId="37999" r:id="rId1"/>
    <sheet name="Competition Menu" sheetId="4" r:id="rId2"/>
    <sheet name="Input" sheetId="2" r:id="rId3"/>
    <sheet name="Relays" sheetId="37998" r:id="rId4"/>
    <sheet name="Team Scores" sheetId="37988" r:id="rId5"/>
    <sheet name="Event Data Set" sheetId="37989" state="hidden" r:id="rId6"/>
    <sheet name="Score Sheets" sheetId="37997" state="hidden" r:id="rId7"/>
    <sheet name="Sheet2" sheetId="38001" state="hidden" r:id="rId8"/>
    <sheet name="Scoresheets" sheetId="38002" r:id="rId9"/>
  </sheets>
  <definedNames>
    <definedName name="age">Input!#REF!</definedName>
    <definedName name="award">#REF!</definedName>
    <definedName name="award1">'Event Data Set'!$D$1:$D$802</definedName>
    <definedName name="award11">'Event Data Set'!$D$2:$E$1605</definedName>
    <definedName name="award2">'Event Data Set'!#REF!</definedName>
    <definedName name="Balance">'Event Data Set'!$C$2:$C$62</definedName>
    <definedName name="dec">'Event Data Set'!#REF!</definedName>
    <definedName name="event">#REF!</definedName>
    <definedName name="name">#REF!</definedName>
    <definedName name="name1">#REF!</definedName>
    <definedName name="name2">#REF!</definedName>
    <definedName name="pent">'Event Data Set'!#REF!</definedName>
    <definedName name="point">'Team Scores'!#REF!</definedName>
    <definedName name="points">'Event Data Set'!$B$2:$C$3191</definedName>
    <definedName name="points1">'Event Data Set'!$A$2:$B$2180</definedName>
    <definedName name="points11">'Event Data Set'!$A$2:$B$4389</definedName>
    <definedName name="points3">'Team Scores'!#REF!</definedName>
    <definedName name="rounding">#REF!</definedName>
    <definedName name="roundin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3" i="38002" l="1"/>
  <c r="F382" i="38002"/>
  <c r="F361" i="38002"/>
  <c r="F340" i="38002"/>
  <c r="F319" i="38002"/>
  <c r="F298" i="38002"/>
  <c r="F277" i="38002"/>
  <c r="F256" i="38002"/>
  <c r="F235" i="38002"/>
  <c r="F214" i="38002"/>
  <c r="F193" i="38002"/>
  <c r="F172" i="38002"/>
  <c r="F151" i="38002"/>
  <c r="F130" i="38002"/>
  <c r="F109" i="38002"/>
  <c r="F88" i="38002"/>
  <c r="F67" i="38002"/>
  <c r="F46" i="38002"/>
  <c r="F25" i="38002"/>
  <c r="F4" i="38002"/>
  <c r="BA5" i="37988"/>
  <c r="BA6" i="37988"/>
  <c r="BA4" i="37988"/>
  <c r="X46" i="2"/>
  <c r="P46" i="2"/>
  <c r="Y46" i="2"/>
  <c r="Q46" i="2"/>
  <c r="Z46" i="2"/>
  <c r="R46" i="2"/>
  <c r="AA46" i="2"/>
  <c r="S46" i="2"/>
  <c r="AB46" i="2"/>
  <c r="T46" i="2"/>
  <c r="AC46" i="2"/>
  <c r="U46" i="2"/>
  <c r="AE46" i="2"/>
  <c r="T6" i="37988"/>
  <c r="T5" i="37988"/>
  <c r="T4" i="37988"/>
  <c r="AK1" i="37988"/>
  <c r="AM83" i="37988"/>
  <c r="AN83" i="37988"/>
  <c r="AO83" i="37988"/>
  <c r="AP83" i="37988"/>
  <c r="AQ83" i="37988"/>
  <c r="AR83" i="37988"/>
  <c r="AS83" i="37988"/>
  <c r="AT83" i="37988"/>
  <c r="AU83" i="37988"/>
  <c r="AV83" i="37988"/>
  <c r="AW83" i="37988"/>
  <c r="AX83" i="37988"/>
  <c r="AY83" i="37988"/>
  <c r="AZ83" i="37988"/>
  <c r="BA83" i="37988"/>
  <c r="BB83" i="37988"/>
  <c r="BC83" i="37988"/>
  <c r="BD83" i="37988"/>
  <c r="BE83" i="37988"/>
  <c r="BF83" i="37988"/>
  <c r="BG83" i="37988"/>
  <c r="BH83" i="37988"/>
  <c r="BI83" i="37988"/>
  <c r="BJ83" i="37988"/>
  <c r="BK83" i="37988"/>
  <c r="BL83" i="37988"/>
  <c r="BM83" i="37988"/>
  <c r="BN83" i="37988"/>
  <c r="BO83" i="37988"/>
  <c r="BP83" i="37988"/>
  <c r="BQ83" i="37988"/>
  <c r="BR83" i="37988"/>
  <c r="AM84" i="37988"/>
  <c r="AN84" i="37988"/>
  <c r="AO84" i="37988"/>
  <c r="AP84" i="37988"/>
  <c r="AQ84" i="37988"/>
  <c r="AR84" i="37988"/>
  <c r="AS84" i="37988"/>
  <c r="AT84" i="37988"/>
  <c r="AU84" i="37988"/>
  <c r="AV84" i="37988"/>
  <c r="AW84" i="37988"/>
  <c r="AX84" i="37988"/>
  <c r="AY84" i="37988"/>
  <c r="AZ84" i="37988"/>
  <c r="BN84" i="37988"/>
  <c r="BO84" i="37988"/>
  <c r="BP84" i="37988"/>
  <c r="BQ84" i="37988"/>
  <c r="BR84" i="37988"/>
  <c r="AM85" i="37988"/>
  <c r="AN85" i="37988"/>
  <c r="AO85" i="37988"/>
  <c r="AP85" i="37988"/>
  <c r="AQ85" i="37988"/>
  <c r="AR85" i="37988"/>
  <c r="AS85" i="37988"/>
  <c r="AT85" i="37988"/>
  <c r="AU85" i="37988"/>
  <c r="AV85" i="37988"/>
  <c r="AW85" i="37988"/>
  <c r="AX85" i="37988"/>
  <c r="AY85" i="37988"/>
  <c r="AZ85" i="37988"/>
  <c r="BN85" i="37988"/>
  <c r="BO85" i="37988"/>
  <c r="BP85" i="37988"/>
  <c r="BQ85" i="37988"/>
  <c r="BR85" i="37988"/>
  <c r="AM86" i="37988"/>
  <c r="AN86" i="37988"/>
  <c r="AO86" i="37988"/>
  <c r="AP86" i="37988"/>
  <c r="AQ86" i="37988"/>
  <c r="AR86" i="37988"/>
  <c r="AS86" i="37988"/>
  <c r="AT86" i="37988"/>
  <c r="AU86" i="37988"/>
  <c r="AV86" i="37988"/>
  <c r="AW86" i="37988"/>
  <c r="AX86" i="37988"/>
  <c r="AY86" i="37988"/>
  <c r="AZ86" i="37988"/>
  <c r="BN86" i="37988"/>
  <c r="BO86" i="37988"/>
  <c r="BP86" i="37988"/>
  <c r="BQ86" i="37988"/>
  <c r="BR86" i="37988"/>
  <c r="AM87" i="37988"/>
  <c r="AN87" i="37988"/>
  <c r="AO87" i="37988"/>
  <c r="AP87" i="37988"/>
  <c r="AQ87" i="37988"/>
  <c r="AR87" i="37988"/>
  <c r="AS87" i="37988"/>
  <c r="AT87" i="37988"/>
  <c r="AU87" i="37988"/>
  <c r="AV87" i="37988"/>
  <c r="AW87" i="37988"/>
  <c r="AX87" i="37988"/>
  <c r="AY87" i="37988"/>
  <c r="AZ87" i="37988"/>
  <c r="BN87" i="37988"/>
  <c r="BO87" i="37988"/>
  <c r="BP87" i="37988"/>
  <c r="BQ87" i="37988"/>
  <c r="BR87" i="37988"/>
  <c r="B22" i="37998"/>
  <c r="B23" i="37998"/>
  <c r="B24" i="37998"/>
  <c r="B25" i="37998"/>
  <c r="B26" i="37998"/>
  <c r="B27" i="37998"/>
  <c r="B28" i="37998"/>
  <c r="B29" i="37998"/>
  <c r="B30" i="37998"/>
  <c r="B21" i="37998"/>
  <c r="B12" i="37998"/>
  <c r="B13" i="37998"/>
  <c r="B14" i="37998"/>
  <c r="B15" i="37998"/>
  <c r="B16" i="37998"/>
  <c r="B17" i="37998"/>
  <c r="B18" i="37998"/>
  <c r="B19" i="37998"/>
  <c r="B20" i="37998"/>
  <c r="B11" i="37998"/>
  <c r="AC11" i="2"/>
  <c r="U11" i="2"/>
  <c r="AE12" i="2"/>
  <c r="AE13" i="2"/>
  <c r="AE14" i="2"/>
  <c r="AE15" i="2"/>
  <c r="AE16" i="2"/>
  <c r="AE17" i="2"/>
  <c r="AE18" i="2"/>
  <c r="AE19" i="2"/>
  <c r="AE20" i="2"/>
  <c r="AE21" i="2"/>
  <c r="AE22" i="2"/>
  <c r="AE23" i="2"/>
  <c r="AE24" i="2"/>
  <c r="AE25" i="2"/>
  <c r="AE26" i="2"/>
  <c r="AE27" i="2"/>
  <c r="AE28" i="2"/>
  <c r="AE29" i="2"/>
  <c r="AE30" i="2"/>
  <c r="AE31" i="2"/>
  <c r="AE32" i="2"/>
  <c r="AE33" i="2"/>
  <c r="AE34" i="2"/>
  <c r="AE35" i="2"/>
  <c r="AE36" i="2"/>
  <c r="AE37" i="2"/>
  <c r="AE38" i="2"/>
  <c r="AE39" i="2"/>
  <c r="AE40" i="2"/>
  <c r="AE41" i="2"/>
  <c r="AE42" i="2"/>
  <c r="AE43" i="2"/>
  <c r="AE44" i="2"/>
  <c r="AE45" i="2"/>
  <c r="AE47" i="2"/>
  <c r="AE48" i="2"/>
  <c r="AE49" i="2"/>
  <c r="AE50" i="2"/>
  <c r="AE51" i="2"/>
  <c r="AE52" i="2"/>
  <c r="AE53" i="2"/>
  <c r="AE54" i="2"/>
  <c r="AE55" i="2"/>
  <c r="AE56" i="2"/>
  <c r="AE57" i="2"/>
  <c r="AE58" i="2"/>
  <c r="AE59" i="2"/>
  <c r="AE60" i="2"/>
  <c r="AE61" i="2"/>
  <c r="AE62" i="2"/>
  <c r="AE63" i="2"/>
  <c r="AE64" i="2"/>
  <c r="AE65" i="2"/>
  <c r="AE66" i="2"/>
  <c r="AE67" i="2"/>
  <c r="AE68" i="2"/>
  <c r="AE69" i="2"/>
  <c r="AE70" i="2"/>
  <c r="AE71" i="2"/>
  <c r="AE72" i="2"/>
  <c r="AE73" i="2"/>
  <c r="AE74" i="2"/>
  <c r="AE75" i="2"/>
  <c r="AE76" i="2"/>
  <c r="AE77" i="2"/>
  <c r="AE78" i="2"/>
  <c r="AE79" i="2"/>
  <c r="AE80" i="2"/>
  <c r="AE81" i="2"/>
  <c r="AE82" i="2"/>
  <c r="AE83" i="2"/>
  <c r="AE84" i="2"/>
  <c r="AE85" i="2"/>
  <c r="AE86" i="2"/>
  <c r="AE87" i="2"/>
  <c r="AE88" i="2"/>
  <c r="AE89" i="2"/>
  <c r="AE90" i="2"/>
  <c r="AE91" i="2"/>
  <c r="AE92" i="2"/>
  <c r="AE93" i="2"/>
  <c r="AE94" i="2"/>
  <c r="AE95" i="2"/>
  <c r="AE96" i="2"/>
  <c r="AE97" i="2"/>
  <c r="AE98" i="2"/>
  <c r="AE99" i="2"/>
  <c r="AE100" i="2"/>
  <c r="AE101" i="2"/>
  <c r="AE102" i="2"/>
  <c r="AE103" i="2"/>
  <c r="AE104" i="2"/>
  <c r="AE105" i="2"/>
  <c r="AE106" i="2"/>
  <c r="AE107" i="2"/>
  <c r="AE108" i="2"/>
  <c r="AE109" i="2"/>
  <c r="AE110" i="2"/>
  <c r="AE111" i="2"/>
  <c r="AE112" i="2"/>
  <c r="AE113" i="2"/>
  <c r="AE114" i="2"/>
  <c r="AE115" i="2"/>
  <c r="AE116" i="2"/>
  <c r="AE117" i="2"/>
  <c r="AE118" i="2"/>
  <c r="AE119" i="2"/>
  <c r="AE120" i="2"/>
  <c r="AE121" i="2"/>
  <c r="AE122" i="2"/>
  <c r="AE123" i="2"/>
  <c r="AE124" i="2"/>
  <c r="AE125" i="2"/>
  <c r="AE126" i="2"/>
  <c r="AE127" i="2"/>
  <c r="AE128" i="2"/>
  <c r="AE129" i="2"/>
  <c r="AE130" i="2"/>
  <c r="AE131" i="2"/>
  <c r="AE132" i="2"/>
  <c r="AE133" i="2"/>
  <c r="AE134" i="2"/>
  <c r="AE135" i="2"/>
  <c r="AE136" i="2"/>
  <c r="AE137" i="2"/>
  <c r="AE138" i="2"/>
  <c r="AE139" i="2"/>
  <c r="AE140" i="2"/>
  <c r="AE141" i="2"/>
  <c r="AE142" i="2"/>
  <c r="AE143" i="2"/>
  <c r="AE144" i="2"/>
  <c r="AE145" i="2"/>
  <c r="AE146" i="2"/>
  <c r="AE147" i="2"/>
  <c r="AE148" i="2"/>
  <c r="AE149" i="2"/>
  <c r="AE150" i="2"/>
  <c r="AE151" i="2"/>
  <c r="AE152" i="2"/>
  <c r="AE153" i="2"/>
  <c r="AE154" i="2"/>
  <c r="AE155" i="2"/>
  <c r="AE156" i="2"/>
  <c r="AE157" i="2"/>
  <c r="AE158" i="2"/>
  <c r="AE159" i="2"/>
  <c r="AE160" i="2"/>
  <c r="AE161" i="2"/>
  <c r="AE162" i="2"/>
  <c r="AE163" i="2"/>
  <c r="AE164" i="2"/>
  <c r="AE165" i="2"/>
  <c r="AE166" i="2"/>
  <c r="AE167" i="2"/>
  <c r="AE168" i="2"/>
  <c r="AE169" i="2"/>
  <c r="AE170" i="2"/>
  <c r="AE171" i="2"/>
  <c r="AE172" i="2"/>
  <c r="AE173" i="2"/>
  <c r="AE174" i="2"/>
  <c r="AE175" i="2"/>
  <c r="AE176" i="2"/>
  <c r="AE177" i="2"/>
  <c r="AE178" i="2"/>
  <c r="AE179" i="2"/>
  <c r="AE180" i="2"/>
  <c r="AE181" i="2"/>
  <c r="AE182" i="2"/>
  <c r="AE183" i="2"/>
  <c r="AE184" i="2"/>
  <c r="AE185" i="2"/>
  <c r="AE186" i="2"/>
  <c r="AE187" i="2"/>
  <c r="AE188" i="2"/>
  <c r="AE189" i="2"/>
  <c r="AE190" i="2"/>
  <c r="AE191" i="2"/>
  <c r="AE192" i="2"/>
  <c r="AE193" i="2"/>
  <c r="AE194" i="2"/>
  <c r="AE195" i="2"/>
  <c r="AE196" i="2"/>
  <c r="AE197" i="2"/>
  <c r="AE198" i="2"/>
  <c r="AE199" i="2"/>
  <c r="AE200" i="2"/>
  <c r="AE201" i="2"/>
  <c r="AE202" i="2"/>
  <c r="AE203" i="2"/>
  <c r="AE204" i="2"/>
  <c r="AE205" i="2"/>
  <c r="AE206" i="2"/>
  <c r="AE207" i="2"/>
  <c r="AE208" i="2"/>
  <c r="AE209" i="2"/>
  <c r="AE210" i="2"/>
  <c r="AE211" i="2"/>
  <c r="AE212" i="2"/>
  <c r="AE213" i="2"/>
  <c r="AE214" i="2"/>
  <c r="AE215" i="2"/>
  <c r="AE216" i="2"/>
  <c r="AE217" i="2"/>
  <c r="AE218" i="2"/>
  <c r="AE219" i="2"/>
  <c r="AE220" i="2"/>
  <c r="AE221" i="2"/>
  <c r="AE222" i="2"/>
  <c r="AE223" i="2"/>
  <c r="AE224" i="2"/>
  <c r="AE225" i="2"/>
  <c r="AE226" i="2"/>
  <c r="AE227" i="2"/>
  <c r="AE228" i="2"/>
  <c r="AE229" i="2"/>
  <c r="AE230" i="2"/>
  <c r="AE231" i="2"/>
  <c r="AE232" i="2"/>
  <c r="AE233" i="2"/>
  <c r="AE234" i="2"/>
  <c r="AE235" i="2"/>
  <c r="AE236" i="2"/>
  <c r="AE237" i="2"/>
  <c r="AE238" i="2"/>
  <c r="AE239" i="2"/>
  <c r="AE240" i="2"/>
  <c r="AE241" i="2"/>
  <c r="AE242" i="2"/>
  <c r="AE243" i="2"/>
  <c r="AE244" i="2"/>
  <c r="AE245" i="2"/>
  <c r="AE246" i="2"/>
  <c r="AE247" i="2"/>
  <c r="AE248" i="2"/>
  <c r="AE249" i="2"/>
  <c r="AE250" i="2"/>
  <c r="AE11" i="2"/>
  <c r="X12" i="2"/>
  <c r="P12" i="2"/>
  <c r="Y12" i="2"/>
  <c r="Q12" i="2"/>
  <c r="Z12" i="2"/>
  <c r="R12" i="2"/>
  <c r="AA12" i="2"/>
  <c r="AB12" i="2"/>
  <c r="T12" i="2"/>
  <c r="AC12" i="2"/>
  <c r="U12" i="2"/>
  <c r="X13" i="2"/>
  <c r="P13" i="2"/>
  <c r="Y13" i="2"/>
  <c r="Z13" i="2"/>
  <c r="R13" i="2"/>
  <c r="AA13" i="2"/>
  <c r="S13" i="2"/>
  <c r="AB13" i="2"/>
  <c r="T13" i="2"/>
  <c r="AC13" i="2"/>
  <c r="U13" i="2"/>
  <c r="X14" i="2"/>
  <c r="P14" i="2"/>
  <c r="Y14" i="2"/>
  <c r="Q14" i="2"/>
  <c r="Z14" i="2"/>
  <c r="R14" i="2"/>
  <c r="AA14" i="2"/>
  <c r="S14" i="2"/>
  <c r="AB14" i="2"/>
  <c r="T14" i="2"/>
  <c r="AC14" i="2"/>
  <c r="U14" i="2"/>
  <c r="X15" i="2"/>
  <c r="P15" i="2"/>
  <c r="Y15" i="2"/>
  <c r="Q15" i="2"/>
  <c r="Z15" i="2"/>
  <c r="AA15" i="2"/>
  <c r="S15" i="2"/>
  <c r="AB15" i="2"/>
  <c r="AC15" i="2"/>
  <c r="X16" i="2"/>
  <c r="P16" i="2"/>
  <c r="Y16" i="2"/>
  <c r="Q16" i="2"/>
  <c r="Z16" i="2"/>
  <c r="R16" i="2"/>
  <c r="AA16" i="2"/>
  <c r="S16" i="2"/>
  <c r="AB16" i="2"/>
  <c r="T16" i="2"/>
  <c r="AC16" i="2"/>
  <c r="U16" i="2"/>
  <c r="X17" i="2"/>
  <c r="P17" i="2"/>
  <c r="Y17" i="2"/>
  <c r="Z17" i="2"/>
  <c r="R17" i="2"/>
  <c r="AA17" i="2"/>
  <c r="S17" i="2"/>
  <c r="AB17" i="2"/>
  <c r="T17" i="2"/>
  <c r="AC17" i="2"/>
  <c r="U17" i="2"/>
  <c r="X18" i="2"/>
  <c r="P18" i="2"/>
  <c r="Y18" i="2"/>
  <c r="Q18" i="2"/>
  <c r="Z18" i="2"/>
  <c r="R18" i="2"/>
  <c r="AA18" i="2"/>
  <c r="S18" i="2"/>
  <c r="AB18" i="2"/>
  <c r="T18" i="2"/>
  <c r="AC18" i="2"/>
  <c r="U18" i="2"/>
  <c r="X19" i="2"/>
  <c r="P19" i="2"/>
  <c r="Y19" i="2"/>
  <c r="Q19" i="2"/>
  <c r="Z19" i="2"/>
  <c r="AA19" i="2"/>
  <c r="S19" i="2"/>
  <c r="AB19" i="2"/>
  <c r="AC19" i="2"/>
  <c r="U19" i="2"/>
  <c r="X20" i="2"/>
  <c r="P20" i="2"/>
  <c r="Y20" i="2"/>
  <c r="Q20" i="2"/>
  <c r="Z20" i="2"/>
  <c r="R20" i="2"/>
  <c r="AA20" i="2"/>
  <c r="S20" i="2"/>
  <c r="AB20" i="2"/>
  <c r="T20" i="2"/>
  <c r="AC20" i="2"/>
  <c r="U20" i="2"/>
  <c r="X21" i="2"/>
  <c r="P21" i="2"/>
  <c r="Y21" i="2"/>
  <c r="Q21" i="2"/>
  <c r="Z21" i="2"/>
  <c r="R21" i="2"/>
  <c r="AA21" i="2"/>
  <c r="S21" i="2"/>
  <c r="AB21" i="2"/>
  <c r="T21" i="2"/>
  <c r="AC21" i="2"/>
  <c r="U21" i="2"/>
  <c r="X22" i="2"/>
  <c r="P22" i="2"/>
  <c r="Y22" i="2"/>
  <c r="Q22" i="2"/>
  <c r="Z22" i="2"/>
  <c r="R22" i="2"/>
  <c r="AA22" i="2"/>
  <c r="S22" i="2"/>
  <c r="AB22" i="2"/>
  <c r="T22" i="2"/>
  <c r="AC22" i="2"/>
  <c r="U22" i="2"/>
  <c r="X23" i="2"/>
  <c r="P23" i="2"/>
  <c r="Y23" i="2"/>
  <c r="Q23" i="2"/>
  <c r="Z23" i="2"/>
  <c r="R23" i="2"/>
  <c r="AA23" i="2"/>
  <c r="S23" i="2"/>
  <c r="AB23" i="2"/>
  <c r="AC23" i="2"/>
  <c r="U23" i="2"/>
  <c r="X24" i="2"/>
  <c r="P24" i="2"/>
  <c r="Y24" i="2"/>
  <c r="Z24" i="2"/>
  <c r="R24" i="2"/>
  <c r="AA24" i="2"/>
  <c r="S24" i="2"/>
  <c r="AB24" i="2"/>
  <c r="T24" i="2"/>
  <c r="AC24" i="2"/>
  <c r="U24" i="2"/>
  <c r="X25" i="2"/>
  <c r="P25" i="2"/>
  <c r="Y25" i="2"/>
  <c r="Z25" i="2"/>
  <c r="R25" i="2"/>
  <c r="AA25" i="2"/>
  <c r="S25" i="2"/>
  <c r="AB25" i="2"/>
  <c r="T25" i="2"/>
  <c r="AC25" i="2"/>
  <c r="U25" i="2"/>
  <c r="X26" i="2"/>
  <c r="Y26" i="2"/>
  <c r="Q26" i="2"/>
  <c r="Z26" i="2"/>
  <c r="R26" i="2"/>
  <c r="AA26" i="2"/>
  <c r="S26" i="2"/>
  <c r="AB26" i="2"/>
  <c r="T26" i="2"/>
  <c r="AC26" i="2"/>
  <c r="U26" i="2"/>
  <c r="X27" i="2"/>
  <c r="P27" i="2"/>
  <c r="Y27" i="2"/>
  <c r="Q27" i="2"/>
  <c r="Z27" i="2"/>
  <c r="R27" i="2"/>
  <c r="AA27" i="2"/>
  <c r="S27" i="2"/>
  <c r="AB27" i="2"/>
  <c r="T27" i="2"/>
  <c r="AC27" i="2"/>
  <c r="U27" i="2"/>
  <c r="X28" i="2"/>
  <c r="P28" i="2"/>
  <c r="Y28" i="2"/>
  <c r="Q28" i="2"/>
  <c r="Z28" i="2"/>
  <c r="R28" i="2"/>
  <c r="AA28" i="2"/>
  <c r="S28" i="2"/>
  <c r="AB28" i="2"/>
  <c r="T28" i="2"/>
  <c r="AC28" i="2"/>
  <c r="U28" i="2"/>
  <c r="X29" i="2"/>
  <c r="P29" i="2"/>
  <c r="Y29" i="2"/>
  <c r="Q29" i="2"/>
  <c r="Z29" i="2"/>
  <c r="R29" i="2"/>
  <c r="AA29" i="2"/>
  <c r="S29" i="2"/>
  <c r="AB29" i="2"/>
  <c r="T29" i="2"/>
  <c r="AC29" i="2"/>
  <c r="U29" i="2"/>
  <c r="X30" i="2"/>
  <c r="P30" i="2"/>
  <c r="Y30" i="2"/>
  <c r="Z30" i="2"/>
  <c r="R30" i="2"/>
  <c r="AA30" i="2"/>
  <c r="S30" i="2"/>
  <c r="AB30" i="2"/>
  <c r="T30" i="2"/>
  <c r="AC30" i="2"/>
  <c r="U30" i="2"/>
  <c r="X31" i="2"/>
  <c r="P31" i="2"/>
  <c r="Y31" i="2"/>
  <c r="Q31" i="2"/>
  <c r="Z31" i="2"/>
  <c r="R31" i="2"/>
  <c r="AA31" i="2"/>
  <c r="S31" i="2"/>
  <c r="AB31" i="2"/>
  <c r="T31" i="2"/>
  <c r="AC31" i="2"/>
  <c r="U31" i="2"/>
  <c r="X32" i="2"/>
  <c r="P32" i="2"/>
  <c r="Y32" i="2"/>
  <c r="Z32" i="2"/>
  <c r="R32" i="2"/>
  <c r="AA32" i="2"/>
  <c r="S32" i="2"/>
  <c r="AB32" i="2"/>
  <c r="T32" i="2"/>
  <c r="AC32" i="2"/>
  <c r="U32" i="2"/>
  <c r="X33" i="2"/>
  <c r="P33" i="2"/>
  <c r="Y33" i="2"/>
  <c r="Q33" i="2"/>
  <c r="Z33" i="2"/>
  <c r="R33" i="2"/>
  <c r="AA33" i="2"/>
  <c r="S33" i="2"/>
  <c r="AB33" i="2"/>
  <c r="T33" i="2"/>
  <c r="AC33" i="2"/>
  <c r="U33" i="2"/>
  <c r="X34" i="2"/>
  <c r="P34" i="2"/>
  <c r="Y34" i="2"/>
  <c r="Z34" i="2"/>
  <c r="R34" i="2"/>
  <c r="AA34" i="2"/>
  <c r="S34" i="2"/>
  <c r="AB34" i="2"/>
  <c r="T34" i="2"/>
  <c r="AC34" i="2"/>
  <c r="U34" i="2"/>
  <c r="X35" i="2"/>
  <c r="P35" i="2"/>
  <c r="Y35" i="2"/>
  <c r="Z35" i="2"/>
  <c r="R35" i="2"/>
  <c r="AA35" i="2"/>
  <c r="S35" i="2"/>
  <c r="AB35" i="2"/>
  <c r="T35" i="2"/>
  <c r="AC35" i="2"/>
  <c r="U35" i="2"/>
  <c r="X36" i="2"/>
  <c r="P36" i="2"/>
  <c r="Y36" i="2"/>
  <c r="Z36" i="2"/>
  <c r="R36" i="2"/>
  <c r="AA36" i="2"/>
  <c r="S36" i="2"/>
  <c r="AB36" i="2"/>
  <c r="T36" i="2"/>
  <c r="AC36" i="2"/>
  <c r="U36" i="2"/>
  <c r="X37" i="2"/>
  <c r="P37" i="2"/>
  <c r="Y37" i="2"/>
  <c r="Q37" i="2"/>
  <c r="Z37" i="2"/>
  <c r="R37" i="2"/>
  <c r="AA37" i="2"/>
  <c r="S37" i="2"/>
  <c r="AB37" i="2"/>
  <c r="T37" i="2"/>
  <c r="AC37" i="2"/>
  <c r="U37" i="2"/>
  <c r="X38" i="2"/>
  <c r="P38" i="2"/>
  <c r="Y38" i="2"/>
  <c r="Q38" i="2"/>
  <c r="Z38" i="2"/>
  <c r="R38" i="2"/>
  <c r="AA38" i="2"/>
  <c r="S38" i="2"/>
  <c r="AB38" i="2"/>
  <c r="T38" i="2"/>
  <c r="AC38" i="2"/>
  <c r="U38" i="2"/>
  <c r="X39" i="2"/>
  <c r="P39" i="2"/>
  <c r="Y39" i="2"/>
  <c r="Q39" i="2"/>
  <c r="Z39" i="2"/>
  <c r="R39" i="2"/>
  <c r="AA39" i="2"/>
  <c r="S39" i="2"/>
  <c r="AB39" i="2"/>
  <c r="T39" i="2"/>
  <c r="AC39" i="2"/>
  <c r="U39" i="2"/>
  <c r="X40" i="2"/>
  <c r="P40" i="2"/>
  <c r="Y40" i="2"/>
  <c r="Q40" i="2"/>
  <c r="Z40" i="2"/>
  <c r="AA40" i="2"/>
  <c r="S40" i="2"/>
  <c r="AB40" i="2"/>
  <c r="T40" i="2"/>
  <c r="AC40" i="2"/>
  <c r="U40" i="2"/>
  <c r="X41" i="2"/>
  <c r="P41" i="2"/>
  <c r="Y41" i="2"/>
  <c r="Q41" i="2"/>
  <c r="Z41" i="2"/>
  <c r="R41" i="2"/>
  <c r="AA41" i="2"/>
  <c r="S41" i="2"/>
  <c r="AB41" i="2"/>
  <c r="T41" i="2"/>
  <c r="AC41" i="2"/>
  <c r="U41" i="2"/>
  <c r="X42" i="2"/>
  <c r="P42" i="2"/>
  <c r="Y42" i="2"/>
  <c r="Z42" i="2"/>
  <c r="R42" i="2"/>
  <c r="AA42" i="2"/>
  <c r="S42" i="2"/>
  <c r="AB42" i="2"/>
  <c r="T42" i="2"/>
  <c r="AC42" i="2"/>
  <c r="U42" i="2"/>
  <c r="X43" i="2"/>
  <c r="P43" i="2"/>
  <c r="Y43" i="2"/>
  <c r="Q43" i="2"/>
  <c r="Z43" i="2"/>
  <c r="AA43" i="2"/>
  <c r="S43" i="2"/>
  <c r="AB43" i="2"/>
  <c r="T43" i="2"/>
  <c r="AC43" i="2"/>
  <c r="U43" i="2"/>
  <c r="X44" i="2"/>
  <c r="P44" i="2"/>
  <c r="Y44" i="2"/>
  <c r="Q44" i="2"/>
  <c r="Z44" i="2"/>
  <c r="R44" i="2"/>
  <c r="AA44" i="2"/>
  <c r="S44" i="2"/>
  <c r="AB44" i="2"/>
  <c r="T44" i="2"/>
  <c r="AC44" i="2"/>
  <c r="U44" i="2"/>
  <c r="X45" i="2"/>
  <c r="P45" i="2"/>
  <c r="Y45" i="2"/>
  <c r="Q45" i="2"/>
  <c r="Z45" i="2"/>
  <c r="R45" i="2"/>
  <c r="AA45" i="2"/>
  <c r="AB45" i="2"/>
  <c r="T45" i="2"/>
  <c r="AC45" i="2"/>
  <c r="U45" i="2"/>
  <c r="X47" i="2"/>
  <c r="P47" i="2"/>
  <c r="Y47" i="2"/>
  <c r="Z47" i="2"/>
  <c r="R47" i="2"/>
  <c r="AA47" i="2"/>
  <c r="S47" i="2"/>
  <c r="AB47" i="2"/>
  <c r="T47" i="2"/>
  <c r="AC47" i="2"/>
  <c r="U47" i="2"/>
  <c r="X48" i="2"/>
  <c r="P48" i="2"/>
  <c r="Y48" i="2"/>
  <c r="Q48" i="2"/>
  <c r="Z48" i="2"/>
  <c r="AA48" i="2"/>
  <c r="S48" i="2"/>
  <c r="AB48" i="2"/>
  <c r="T48" i="2"/>
  <c r="AC48" i="2"/>
  <c r="U48" i="2"/>
  <c r="X49" i="2"/>
  <c r="P49" i="2"/>
  <c r="Y49" i="2"/>
  <c r="Q49" i="2"/>
  <c r="Z49" i="2"/>
  <c r="AA49" i="2"/>
  <c r="S49" i="2"/>
  <c r="AB49" i="2"/>
  <c r="T49" i="2"/>
  <c r="AC49" i="2"/>
  <c r="U49" i="2"/>
  <c r="X50" i="2"/>
  <c r="P50" i="2"/>
  <c r="Y50" i="2"/>
  <c r="Q50" i="2"/>
  <c r="Z50" i="2"/>
  <c r="R50" i="2"/>
  <c r="AA50" i="2"/>
  <c r="S50" i="2"/>
  <c r="AB50" i="2"/>
  <c r="T50" i="2"/>
  <c r="AC50" i="2"/>
  <c r="U50" i="2"/>
  <c r="X51" i="2"/>
  <c r="P51" i="2"/>
  <c r="Y51" i="2"/>
  <c r="Z51" i="2"/>
  <c r="R51" i="2"/>
  <c r="AA51" i="2"/>
  <c r="AB51" i="2"/>
  <c r="T51" i="2"/>
  <c r="AC51" i="2"/>
  <c r="U51" i="2"/>
  <c r="X52" i="2"/>
  <c r="P52" i="2"/>
  <c r="Y52" i="2"/>
  <c r="Z52" i="2"/>
  <c r="AA52" i="2"/>
  <c r="S52" i="2"/>
  <c r="AB52" i="2"/>
  <c r="AC52" i="2"/>
  <c r="U52" i="2"/>
  <c r="X53" i="2"/>
  <c r="P53" i="2"/>
  <c r="Y53" i="2"/>
  <c r="Q53" i="2"/>
  <c r="Z53" i="2"/>
  <c r="AA53" i="2"/>
  <c r="AB53" i="2"/>
  <c r="T53" i="2"/>
  <c r="AC53" i="2"/>
  <c r="U53" i="2"/>
  <c r="X54" i="2"/>
  <c r="P54" i="2"/>
  <c r="Y54" i="2"/>
  <c r="Q54" i="2"/>
  <c r="Z54" i="2"/>
  <c r="R54" i="2"/>
  <c r="AA54" i="2"/>
  <c r="S54" i="2"/>
  <c r="AB54" i="2"/>
  <c r="T54" i="2"/>
  <c r="AC54" i="2"/>
  <c r="U54" i="2"/>
  <c r="X55" i="2"/>
  <c r="P55" i="2"/>
  <c r="Y55" i="2"/>
  <c r="Q55" i="2"/>
  <c r="Z55" i="2"/>
  <c r="R55" i="2"/>
  <c r="AA55" i="2"/>
  <c r="AB55" i="2"/>
  <c r="T55" i="2"/>
  <c r="AC55" i="2"/>
  <c r="X56" i="2"/>
  <c r="P56" i="2"/>
  <c r="Y56" i="2"/>
  <c r="Z56" i="2"/>
  <c r="R56" i="2"/>
  <c r="AA56" i="2"/>
  <c r="S56" i="2"/>
  <c r="AB56" i="2"/>
  <c r="T56" i="2"/>
  <c r="AC56" i="2"/>
  <c r="U56" i="2"/>
  <c r="X57" i="2"/>
  <c r="P57" i="2"/>
  <c r="Y57" i="2"/>
  <c r="Z57" i="2"/>
  <c r="R57" i="2"/>
  <c r="AA57" i="2"/>
  <c r="S57" i="2"/>
  <c r="AB57" i="2"/>
  <c r="T57" i="2"/>
  <c r="AC57" i="2"/>
  <c r="U57" i="2"/>
  <c r="X58" i="2"/>
  <c r="P58" i="2"/>
  <c r="Y58" i="2"/>
  <c r="Q58" i="2"/>
  <c r="Z58" i="2"/>
  <c r="R58" i="2"/>
  <c r="AA58" i="2"/>
  <c r="S58" i="2"/>
  <c r="AB58" i="2"/>
  <c r="T58" i="2"/>
  <c r="AC58" i="2"/>
  <c r="U58" i="2"/>
  <c r="X59" i="2"/>
  <c r="P59" i="2"/>
  <c r="Y59" i="2"/>
  <c r="Q59" i="2"/>
  <c r="Z59" i="2"/>
  <c r="R59" i="2"/>
  <c r="AA59" i="2"/>
  <c r="S59" i="2"/>
  <c r="AB59" i="2"/>
  <c r="T59" i="2"/>
  <c r="AC59" i="2"/>
  <c r="U59" i="2"/>
  <c r="X60" i="2"/>
  <c r="P60" i="2"/>
  <c r="Y60" i="2"/>
  <c r="Z60" i="2"/>
  <c r="R60" i="2"/>
  <c r="AA60" i="2"/>
  <c r="S60" i="2"/>
  <c r="AB60" i="2"/>
  <c r="T60" i="2"/>
  <c r="AC60" i="2"/>
  <c r="U60" i="2"/>
  <c r="X61" i="2"/>
  <c r="P61" i="2"/>
  <c r="Y61" i="2"/>
  <c r="Z61" i="2"/>
  <c r="R61" i="2"/>
  <c r="AA61" i="2"/>
  <c r="AB61" i="2"/>
  <c r="T61" i="2"/>
  <c r="AC61" i="2"/>
  <c r="U61" i="2"/>
  <c r="X62" i="2"/>
  <c r="P62" i="2"/>
  <c r="Y62" i="2"/>
  <c r="Q62" i="2"/>
  <c r="Z62" i="2"/>
  <c r="R62" i="2"/>
  <c r="AA62" i="2"/>
  <c r="S62" i="2"/>
  <c r="AB62" i="2"/>
  <c r="T62" i="2"/>
  <c r="AC62" i="2"/>
  <c r="U62" i="2"/>
  <c r="X63" i="2"/>
  <c r="P63" i="2"/>
  <c r="Y63" i="2"/>
  <c r="Q63" i="2"/>
  <c r="Z63" i="2"/>
  <c r="R63" i="2"/>
  <c r="AA63" i="2"/>
  <c r="S63" i="2"/>
  <c r="AB63" i="2"/>
  <c r="T63" i="2"/>
  <c r="AC63" i="2"/>
  <c r="U63" i="2"/>
  <c r="X64" i="2"/>
  <c r="P64" i="2"/>
  <c r="Y64" i="2"/>
  <c r="Z64" i="2"/>
  <c r="R64" i="2"/>
  <c r="AA64" i="2"/>
  <c r="S64" i="2"/>
  <c r="AB64" i="2"/>
  <c r="AC64" i="2"/>
  <c r="U64" i="2"/>
  <c r="X65" i="2"/>
  <c r="P65" i="2"/>
  <c r="Y65" i="2"/>
  <c r="Z65" i="2"/>
  <c r="R65" i="2"/>
  <c r="AA65" i="2"/>
  <c r="AB65" i="2"/>
  <c r="T65" i="2"/>
  <c r="AC65" i="2"/>
  <c r="U65" i="2"/>
  <c r="X66" i="2"/>
  <c r="P66" i="2"/>
  <c r="Y66" i="2"/>
  <c r="Q66" i="2"/>
  <c r="Z66" i="2"/>
  <c r="R66" i="2"/>
  <c r="AA66" i="2"/>
  <c r="S66" i="2"/>
  <c r="AB66" i="2"/>
  <c r="T66" i="2"/>
  <c r="AC66" i="2"/>
  <c r="U66" i="2"/>
  <c r="X67" i="2"/>
  <c r="P67" i="2"/>
  <c r="Y67" i="2"/>
  <c r="Q67" i="2"/>
  <c r="Z67" i="2"/>
  <c r="R67" i="2"/>
  <c r="AA67" i="2"/>
  <c r="S67" i="2"/>
  <c r="AB67" i="2"/>
  <c r="T67" i="2"/>
  <c r="AC67" i="2"/>
  <c r="U67" i="2"/>
  <c r="X68" i="2"/>
  <c r="P68" i="2"/>
  <c r="Y68" i="2"/>
  <c r="Q68" i="2"/>
  <c r="Z68" i="2"/>
  <c r="R68" i="2"/>
  <c r="AA68" i="2"/>
  <c r="S68" i="2"/>
  <c r="AB68" i="2"/>
  <c r="T68" i="2"/>
  <c r="AC68" i="2"/>
  <c r="U68" i="2"/>
  <c r="X69" i="2"/>
  <c r="P69" i="2"/>
  <c r="Y69" i="2"/>
  <c r="Q69" i="2"/>
  <c r="Z69" i="2"/>
  <c r="AA69" i="2"/>
  <c r="S69" i="2"/>
  <c r="AB69" i="2"/>
  <c r="T69" i="2"/>
  <c r="AC69" i="2"/>
  <c r="U69" i="2"/>
  <c r="X70" i="2"/>
  <c r="Y70" i="2"/>
  <c r="Z70" i="2"/>
  <c r="AA70" i="2"/>
  <c r="S70" i="2"/>
  <c r="AB70" i="2"/>
  <c r="T70" i="2"/>
  <c r="AC70" i="2"/>
  <c r="U70" i="2"/>
  <c r="X71" i="2"/>
  <c r="P71" i="2"/>
  <c r="Y71" i="2"/>
  <c r="Z71" i="2"/>
  <c r="R71" i="2"/>
  <c r="AA71" i="2"/>
  <c r="S71" i="2"/>
  <c r="AB71" i="2"/>
  <c r="T71" i="2"/>
  <c r="AC71" i="2"/>
  <c r="U71" i="2"/>
  <c r="X72" i="2"/>
  <c r="P72" i="2"/>
  <c r="Y72" i="2"/>
  <c r="Q72" i="2"/>
  <c r="Z72" i="2"/>
  <c r="R72" i="2"/>
  <c r="AA72" i="2"/>
  <c r="AB72" i="2"/>
  <c r="T72" i="2"/>
  <c r="AC72" i="2"/>
  <c r="U72" i="2"/>
  <c r="X73" i="2"/>
  <c r="P73" i="2"/>
  <c r="Y73" i="2"/>
  <c r="Q73" i="2"/>
  <c r="Z73" i="2"/>
  <c r="R73" i="2"/>
  <c r="AA73" i="2"/>
  <c r="AB73" i="2"/>
  <c r="T73" i="2"/>
  <c r="AC73" i="2"/>
  <c r="U73" i="2"/>
  <c r="X74" i="2"/>
  <c r="P74" i="2"/>
  <c r="Y74" i="2"/>
  <c r="Q74" i="2"/>
  <c r="Z74" i="2"/>
  <c r="R74" i="2"/>
  <c r="AA74" i="2"/>
  <c r="S74" i="2"/>
  <c r="AB74" i="2"/>
  <c r="T74" i="2"/>
  <c r="AC74" i="2"/>
  <c r="U74" i="2"/>
  <c r="X75" i="2"/>
  <c r="P75" i="2"/>
  <c r="Y75" i="2"/>
  <c r="Q75" i="2"/>
  <c r="Z75" i="2"/>
  <c r="R75" i="2"/>
  <c r="AA75" i="2"/>
  <c r="S75" i="2"/>
  <c r="AB75" i="2"/>
  <c r="T75" i="2"/>
  <c r="AC75" i="2"/>
  <c r="U75" i="2"/>
  <c r="X76" i="2"/>
  <c r="P76" i="2"/>
  <c r="Y76" i="2"/>
  <c r="Q76" i="2"/>
  <c r="Z76" i="2"/>
  <c r="R76" i="2"/>
  <c r="AA76" i="2"/>
  <c r="S76" i="2"/>
  <c r="AB76" i="2"/>
  <c r="AC76" i="2"/>
  <c r="U76" i="2"/>
  <c r="X77" i="2"/>
  <c r="P77" i="2"/>
  <c r="Y77" i="2"/>
  <c r="Z77" i="2"/>
  <c r="R77" i="2"/>
  <c r="AA77" i="2"/>
  <c r="S77" i="2"/>
  <c r="AB77" i="2"/>
  <c r="T77" i="2"/>
  <c r="AC77" i="2"/>
  <c r="U77" i="2"/>
  <c r="X78" i="2"/>
  <c r="P78" i="2"/>
  <c r="Y78" i="2"/>
  <c r="Q78" i="2"/>
  <c r="Z78" i="2"/>
  <c r="R78" i="2"/>
  <c r="AA78" i="2"/>
  <c r="S78" i="2"/>
  <c r="AB78" i="2"/>
  <c r="T78" i="2"/>
  <c r="AC78" i="2"/>
  <c r="U78" i="2"/>
  <c r="X79" i="2"/>
  <c r="P79" i="2"/>
  <c r="Y79" i="2"/>
  <c r="Q79" i="2"/>
  <c r="Z79" i="2"/>
  <c r="R79" i="2"/>
  <c r="AA79" i="2"/>
  <c r="AB79" i="2"/>
  <c r="T79" i="2"/>
  <c r="AC79" i="2"/>
  <c r="U79" i="2"/>
  <c r="X80" i="2"/>
  <c r="P80" i="2"/>
  <c r="Y80" i="2"/>
  <c r="Z80" i="2"/>
  <c r="R80" i="2"/>
  <c r="AA80" i="2"/>
  <c r="S80" i="2"/>
  <c r="AB80" i="2"/>
  <c r="T80" i="2"/>
  <c r="AC80" i="2"/>
  <c r="U80" i="2"/>
  <c r="X81" i="2"/>
  <c r="P81" i="2"/>
  <c r="Y81" i="2"/>
  <c r="Z81" i="2"/>
  <c r="R81" i="2"/>
  <c r="AA81" i="2"/>
  <c r="S81" i="2"/>
  <c r="AB81" i="2"/>
  <c r="T81" i="2"/>
  <c r="AC81" i="2"/>
  <c r="U81" i="2"/>
  <c r="X82" i="2"/>
  <c r="P82" i="2"/>
  <c r="Y82" i="2"/>
  <c r="Z82" i="2"/>
  <c r="R82" i="2"/>
  <c r="AA82" i="2"/>
  <c r="S82" i="2"/>
  <c r="AB82" i="2"/>
  <c r="T82" i="2"/>
  <c r="AC82" i="2"/>
  <c r="U82" i="2"/>
  <c r="X83" i="2"/>
  <c r="P83" i="2"/>
  <c r="Y83" i="2"/>
  <c r="Q83" i="2"/>
  <c r="Z83" i="2"/>
  <c r="R83" i="2"/>
  <c r="AA83" i="2"/>
  <c r="AB83" i="2"/>
  <c r="T83" i="2"/>
  <c r="AC83" i="2"/>
  <c r="U83" i="2"/>
  <c r="X84" i="2"/>
  <c r="P84" i="2"/>
  <c r="Y84" i="2"/>
  <c r="Q84" i="2"/>
  <c r="Z84" i="2"/>
  <c r="R84" i="2"/>
  <c r="AA84" i="2"/>
  <c r="S84" i="2"/>
  <c r="AB84" i="2"/>
  <c r="AC84" i="2"/>
  <c r="U84" i="2"/>
  <c r="X85" i="2"/>
  <c r="P85" i="2"/>
  <c r="Y85" i="2"/>
  <c r="Z85" i="2"/>
  <c r="R85" i="2"/>
  <c r="AA85" i="2"/>
  <c r="S85" i="2"/>
  <c r="AB85" i="2"/>
  <c r="T85" i="2"/>
  <c r="AC85" i="2"/>
  <c r="U85" i="2"/>
  <c r="X86" i="2"/>
  <c r="P86" i="2"/>
  <c r="Y86" i="2"/>
  <c r="Z86" i="2"/>
  <c r="R86" i="2"/>
  <c r="AA86" i="2"/>
  <c r="S86" i="2"/>
  <c r="AB86" i="2"/>
  <c r="T86" i="2"/>
  <c r="AC86" i="2"/>
  <c r="U86" i="2"/>
  <c r="X87" i="2"/>
  <c r="P87" i="2"/>
  <c r="Y87" i="2"/>
  <c r="Q87" i="2"/>
  <c r="Z87" i="2"/>
  <c r="R87" i="2"/>
  <c r="AA87" i="2"/>
  <c r="AB87" i="2"/>
  <c r="T87" i="2"/>
  <c r="AC87" i="2"/>
  <c r="U87" i="2"/>
  <c r="X88" i="2"/>
  <c r="P88" i="2"/>
  <c r="Y88" i="2"/>
  <c r="Z88" i="2"/>
  <c r="R88" i="2"/>
  <c r="AA88" i="2"/>
  <c r="S88" i="2"/>
  <c r="AB88" i="2"/>
  <c r="T88" i="2"/>
  <c r="AC88" i="2"/>
  <c r="U88" i="2"/>
  <c r="X89" i="2"/>
  <c r="P89" i="2"/>
  <c r="Y89" i="2"/>
  <c r="Z89" i="2"/>
  <c r="R89" i="2"/>
  <c r="AA89" i="2"/>
  <c r="AB89" i="2"/>
  <c r="T89" i="2"/>
  <c r="AC89" i="2"/>
  <c r="U89" i="2"/>
  <c r="X90" i="2"/>
  <c r="P90" i="2"/>
  <c r="Y90" i="2"/>
  <c r="Q90" i="2"/>
  <c r="Z90" i="2"/>
  <c r="R90" i="2"/>
  <c r="AA90" i="2"/>
  <c r="AB90" i="2"/>
  <c r="T90" i="2"/>
  <c r="AC90" i="2"/>
  <c r="U90" i="2"/>
  <c r="X91" i="2"/>
  <c r="P91" i="2"/>
  <c r="Y91" i="2"/>
  <c r="Q91" i="2"/>
  <c r="Z91" i="2"/>
  <c r="R91" i="2"/>
  <c r="AA91" i="2"/>
  <c r="AB91" i="2"/>
  <c r="T91" i="2"/>
  <c r="AC91" i="2"/>
  <c r="U91" i="2"/>
  <c r="X92" i="2"/>
  <c r="P92" i="2"/>
  <c r="Y92" i="2"/>
  <c r="Q92" i="2"/>
  <c r="Z92" i="2"/>
  <c r="R92" i="2"/>
  <c r="AA92" i="2"/>
  <c r="S92" i="2"/>
  <c r="AB92" i="2"/>
  <c r="T92" i="2"/>
  <c r="AC92" i="2"/>
  <c r="U92" i="2"/>
  <c r="X93" i="2"/>
  <c r="P93" i="2"/>
  <c r="Y93" i="2"/>
  <c r="Q93" i="2"/>
  <c r="Z93" i="2"/>
  <c r="R93" i="2"/>
  <c r="AA93" i="2"/>
  <c r="S93" i="2"/>
  <c r="AB93" i="2"/>
  <c r="T93" i="2"/>
  <c r="AC93" i="2"/>
  <c r="U93" i="2"/>
  <c r="X94" i="2"/>
  <c r="P94" i="2"/>
  <c r="Y94" i="2"/>
  <c r="Q94" i="2"/>
  <c r="Z94" i="2"/>
  <c r="R94" i="2"/>
  <c r="AA94" i="2"/>
  <c r="S94" i="2"/>
  <c r="AB94" i="2"/>
  <c r="T94" i="2"/>
  <c r="AC94" i="2"/>
  <c r="U94" i="2"/>
  <c r="X95" i="2"/>
  <c r="P95" i="2"/>
  <c r="Y95" i="2"/>
  <c r="Q95" i="2"/>
  <c r="Z95" i="2"/>
  <c r="R95" i="2"/>
  <c r="AA95" i="2"/>
  <c r="AB95" i="2"/>
  <c r="T95" i="2"/>
  <c r="AC95" i="2"/>
  <c r="U95" i="2"/>
  <c r="X96" i="2"/>
  <c r="P96" i="2"/>
  <c r="Y96" i="2"/>
  <c r="Z96" i="2"/>
  <c r="R96" i="2"/>
  <c r="AA96" i="2"/>
  <c r="S96" i="2"/>
  <c r="AB96" i="2"/>
  <c r="T96" i="2"/>
  <c r="AC96" i="2"/>
  <c r="U96" i="2"/>
  <c r="X97" i="2"/>
  <c r="P97" i="2"/>
  <c r="Y97" i="2"/>
  <c r="Q97" i="2"/>
  <c r="Z97" i="2"/>
  <c r="R97" i="2"/>
  <c r="AA97" i="2"/>
  <c r="S97" i="2"/>
  <c r="AB97" i="2"/>
  <c r="T97" i="2"/>
  <c r="AC97" i="2"/>
  <c r="U97" i="2"/>
  <c r="X98" i="2"/>
  <c r="P98" i="2"/>
  <c r="Y98" i="2"/>
  <c r="Q98" i="2"/>
  <c r="Z98" i="2"/>
  <c r="R98" i="2"/>
  <c r="AA98" i="2"/>
  <c r="AB98" i="2"/>
  <c r="T98" i="2"/>
  <c r="AC98" i="2"/>
  <c r="U98" i="2"/>
  <c r="X99" i="2"/>
  <c r="P99" i="2"/>
  <c r="Y99" i="2"/>
  <c r="Q99" i="2"/>
  <c r="Z99" i="2"/>
  <c r="R99" i="2"/>
  <c r="AA99" i="2"/>
  <c r="AB99" i="2"/>
  <c r="T99" i="2"/>
  <c r="AC99" i="2"/>
  <c r="U99" i="2"/>
  <c r="X100" i="2"/>
  <c r="P100" i="2"/>
  <c r="Y100" i="2"/>
  <c r="Q100" i="2"/>
  <c r="Z100" i="2"/>
  <c r="R100" i="2"/>
  <c r="AA100" i="2"/>
  <c r="S100" i="2"/>
  <c r="AB100" i="2"/>
  <c r="T100" i="2"/>
  <c r="AC100" i="2"/>
  <c r="U100" i="2"/>
  <c r="X101" i="2"/>
  <c r="P101" i="2"/>
  <c r="Y101" i="2"/>
  <c r="Z101" i="2"/>
  <c r="R101" i="2"/>
  <c r="AA101" i="2"/>
  <c r="S101" i="2"/>
  <c r="AB101" i="2"/>
  <c r="T101" i="2"/>
  <c r="AC101" i="2"/>
  <c r="U101" i="2"/>
  <c r="X102" i="2"/>
  <c r="P102" i="2"/>
  <c r="Y102" i="2"/>
  <c r="Z102" i="2"/>
  <c r="R102" i="2"/>
  <c r="AA102" i="2"/>
  <c r="S102" i="2"/>
  <c r="AB102" i="2"/>
  <c r="T102" i="2"/>
  <c r="AC102" i="2"/>
  <c r="U102" i="2"/>
  <c r="X103" i="2"/>
  <c r="P103" i="2"/>
  <c r="Y103" i="2"/>
  <c r="Q103" i="2"/>
  <c r="Z103" i="2"/>
  <c r="R103" i="2"/>
  <c r="AA103" i="2"/>
  <c r="AB103" i="2"/>
  <c r="T103" i="2"/>
  <c r="AC103" i="2"/>
  <c r="U103" i="2"/>
  <c r="X104" i="2"/>
  <c r="P104" i="2"/>
  <c r="Y104" i="2"/>
  <c r="Q104" i="2"/>
  <c r="Z104" i="2"/>
  <c r="R104" i="2"/>
  <c r="AA104" i="2"/>
  <c r="S104" i="2"/>
  <c r="AB104" i="2"/>
  <c r="T104" i="2"/>
  <c r="AC104" i="2"/>
  <c r="U104" i="2"/>
  <c r="X105" i="2"/>
  <c r="P105" i="2"/>
  <c r="Y105" i="2"/>
  <c r="Z105" i="2"/>
  <c r="R105" i="2"/>
  <c r="AA105" i="2"/>
  <c r="S105" i="2"/>
  <c r="AB105" i="2"/>
  <c r="T105" i="2"/>
  <c r="AC105" i="2"/>
  <c r="U105" i="2"/>
  <c r="X106" i="2"/>
  <c r="P106" i="2"/>
  <c r="Y106" i="2"/>
  <c r="Z106" i="2"/>
  <c r="R106" i="2"/>
  <c r="AA106" i="2"/>
  <c r="S106" i="2"/>
  <c r="AB106" i="2"/>
  <c r="T106" i="2"/>
  <c r="AC106" i="2"/>
  <c r="U106" i="2"/>
  <c r="X107" i="2"/>
  <c r="P107" i="2"/>
  <c r="Y107" i="2"/>
  <c r="Q107" i="2"/>
  <c r="Z107" i="2"/>
  <c r="R107" i="2"/>
  <c r="AA107" i="2"/>
  <c r="AB107" i="2"/>
  <c r="T107" i="2"/>
  <c r="AC107" i="2"/>
  <c r="U107" i="2"/>
  <c r="X108" i="2"/>
  <c r="P108" i="2"/>
  <c r="Y108" i="2"/>
  <c r="Z108" i="2"/>
  <c r="R108" i="2"/>
  <c r="AA108" i="2"/>
  <c r="S108" i="2"/>
  <c r="AB108" i="2"/>
  <c r="T108" i="2"/>
  <c r="AC108" i="2"/>
  <c r="U108" i="2"/>
  <c r="X109" i="2"/>
  <c r="P109" i="2"/>
  <c r="Y109" i="2"/>
  <c r="Z109" i="2"/>
  <c r="R109" i="2"/>
  <c r="AA109" i="2"/>
  <c r="S109" i="2"/>
  <c r="AB109" i="2"/>
  <c r="T109" i="2"/>
  <c r="AC109" i="2"/>
  <c r="U109" i="2"/>
  <c r="X110" i="2"/>
  <c r="P110" i="2"/>
  <c r="Y110" i="2"/>
  <c r="Z110" i="2"/>
  <c r="R110" i="2"/>
  <c r="AA110" i="2"/>
  <c r="S110" i="2"/>
  <c r="AB110" i="2"/>
  <c r="T110" i="2"/>
  <c r="AC110" i="2"/>
  <c r="U110" i="2"/>
  <c r="X111" i="2"/>
  <c r="P111" i="2"/>
  <c r="Y111" i="2"/>
  <c r="Q111" i="2"/>
  <c r="Z111" i="2"/>
  <c r="R111" i="2"/>
  <c r="AA111" i="2"/>
  <c r="S111" i="2"/>
  <c r="AB111" i="2"/>
  <c r="T111" i="2"/>
  <c r="AC111" i="2"/>
  <c r="U111" i="2"/>
  <c r="X112" i="2"/>
  <c r="P112" i="2"/>
  <c r="Y112" i="2"/>
  <c r="Z112" i="2"/>
  <c r="R112" i="2"/>
  <c r="AA112" i="2"/>
  <c r="S112" i="2"/>
  <c r="AB112" i="2"/>
  <c r="T112" i="2"/>
  <c r="AC112" i="2"/>
  <c r="U112" i="2"/>
  <c r="X113" i="2"/>
  <c r="P113" i="2"/>
  <c r="Y113" i="2"/>
  <c r="Q113" i="2"/>
  <c r="Z113" i="2"/>
  <c r="R113" i="2"/>
  <c r="AA113" i="2"/>
  <c r="S113" i="2"/>
  <c r="AB113" i="2"/>
  <c r="T113" i="2"/>
  <c r="AC113" i="2"/>
  <c r="U113" i="2"/>
  <c r="X114" i="2"/>
  <c r="P114" i="2"/>
  <c r="Y114" i="2"/>
  <c r="Z114" i="2"/>
  <c r="R114" i="2"/>
  <c r="AA114" i="2"/>
  <c r="S114" i="2"/>
  <c r="AB114" i="2"/>
  <c r="T114" i="2"/>
  <c r="AC114" i="2"/>
  <c r="U114" i="2"/>
  <c r="X115" i="2"/>
  <c r="P115" i="2"/>
  <c r="Y115" i="2"/>
  <c r="Q115" i="2"/>
  <c r="Z115" i="2"/>
  <c r="AA115" i="2"/>
  <c r="AB115" i="2"/>
  <c r="T115" i="2"/>
  <c r="AC115" i="2"/>
  <c r="U115" i="2"/>
  <c r="X116" i="2"/>
  <c r="P116" i="2"/>
  <c r="Y116" i="2"/>
  <c r="Z116" i="2"/>
  <c r="R116" i="2"/>
  <c r="AA116" i="2"/>
  <c r="S116" i="2"/>
  <c r="AB116" i="2"/>
  <c r="T116" i="2"/>
  <c r="AC116" i="2"/>
  <c r="U116" i="2"/>
  <c r="X117" i="2"/>
  <c r="P117" i="2"/>
  <c r="Y117" i="2"/>
  <c r="Z117" i="2"/>
  <c r="R117" i="2"/>
  <c r="AA117" i="2"/>
  <c r="S117" i="2"/>
  <c r="AB117" i="2"/>
  <c r="T117" i="2"/>
  <c r="AC117" i="2"/>
  <c r="U117" i="2"/>
  <c r="X118" i="2"/>
  <c r="P118" i="2"/>
  <c r="Y118" i="2"/>
  <c r="Q118" i="2"/>
  <c r="Z118" i="2"/>
  <c r="R118" i="2"/>
  <c r="AA118" i="2"/>
  <c r="S118" i="2"/>
  <c r="AB118" i="2"/>
  <c r="T118" i="2"/>
  <c r="AC118" i="2"/>
  <c r="U118" i="2"/>
  <c r="X119" i="2"/>
  <c r="P119" i="2"/>
  <c r="Y119" i="2"/>
  <c r="Q119" i="2"/>
  <c r="Z119" i="2"/>
  <c r="R119" i="2"/>
  <c r="AA119" i="2"/>
  <c r="AB119" i="2"/>
  <c r="T119" i="2"/>
  <c r="AC119" i="2"/>
  <c r="U119" i="2"/>
  <c r="X120" i="2"/>
  <c r="P120" i="2"/>
  <c r="Y120" i="2"/>
  <c r="Q120" i="2"/>
  <c r="Z120" i="2"/>
  <c r="R120" i="2"/>
  <c r="AA120" i="2"/>
  <c r="S120" i="2"/>
  <c r="AB120" i="2"/>
  <c r="T120" i="2"/>
  <c r="AC120" i="2"/>
  <c r="U120" i="2"/>
  <c r="X121" i="2"/>
  <c r="P121" i="2"/>
  <c r="Y121" i="2"/>
  <c r="Z121" i="2"/>
  <c r="R121" i="2"/>
  <c r="AA121" i="2"/>
  <c r="S121" i="2"/>
  <c r="AB121" i="2"/>
  <c r="T121" i="2"/>
  <c r="AC121" i="2"/>
  <c r="U121" i="2"/>
  <c r="X122" i="2"/>
  <c r="Y122" i="2"/>
  <c r="Z122" i="2"/>
  <c r="R122" i="2"/>
  <c r="AA122" i="2"/>
  <c r="S122" i="2"/>
  <c r="AB122" i="2"/>
  <c r="T122" i="2"/>
  <c r="AC122" i="2"/>
  <c r="U122" i="2"/>
  <c r="X123" i="2"/>
  <c r="P123" i="2"/>
  <c r="Y123" i="2"/>
  <c r="Q123" i="2"/>
  <c r="Z123" i="2"/>
  <c r="R123" i="2"/>
  <c r="AA123" i="2"/>
  <c r="AB123" i="2"/>
  <c r="T123" i="2"/>
  <c r="AC123" i="2"/>
  <c r="U123" i="2"/>
  <c r="X124" i="2"/>
  <c r="P124" i="2"/>
  <c r="Y124" i="2"/>
  <c r="Z124" i="2"/>
  <c r="R124" i="2"/>
  <c r="AA124" i="2"/>
  <c r="S124" i="2"/>
  <c r="AB124" i="2"/>
  <c r="T124" i="2"/>
  <c r="AC124" i="2"/>
  <c r="U124" i="2"/>
  <c r="X125" i="2"/>
  <c r="P125" i="2"/>
  <c r="Y125" i="2"/>
  <c r="Z125" i="2"/>
  <c r="R125" i="2"/>
  <c r="AA125" i="2"/>
  <c r="S125" i="2"/>
  <c r="AB125" i="2"/>
  <c r="T125" i="2"/>
  <c r="AC125" i="2"/>
  <c r="U125" i="2"/>
  <c r="X126" i="2"/>
  <c r="P126" i="2"/>
  <c r="Y126" i="2"/>
  <c r="Z126" i="2"/>
  <c r="R126" i="2"/>
  <c r="AA126" i="2"/>
  <c r="S126" i="2"/>
  <c r="AB126" i="2"/>
  <c r="T126" i="2"/>
  <c r="AC126" i="2"/>
  <c r="U126" i="2"/>
  <c r="X127" i="2"/>
  <c r="P127" i="2"/>
  <c r="Y127" i="2"/>
  <c r="Q127" i="2"/>
  <c r="Z127" i="2"/>
  <c r="R127" i="2"/>
  <c r="AA127" i="2"/>
  <c r="AB127" i="2"/>
  <c r="T127" i="2"/>
  <c r="AC127" i="2"/>
  <c r="U127" i="2"/>
  <c r="X128" i="2"/>
  <c r="P128" i="2"/>
  <c r="Y128" i="2"/>
  <c r="Z128" i="2"/>
  <c r="R128" i="2"/>
  <c r="AA128" i="2"/>
  <c r="S128" i="2"/>
  <c r="AB128" i="2"/>
  <c r="T128" i="2"/>
  <c r="AC128" i="2"/>
  <c r="U128" i="2"/>
  <c r="X129" i="2"/>
  <c r="P129" i="2"/>
  <c r="Y129" i="2"/>
  <c r="Z129" i="2"/>
  <c r="R129" i="2"/>
  <c r="AA129" i="2"/>
  <c r="AB129" i="2"/>
  <c r="T129" i="2"/>
  <c r="AC129" i="2"/>
  <c r="U129" i="2"/>
  <c r="X130" i="2"/>
  <c r="P130" i="2"/>
  <c r="Y130" i="2"/>
  <c r="Z130" i="2"/>
  <c r="R130" i="2"/>
  <c r="AA130" i="2"/>
  <c r="S130" i="2"/>
  <c r="AB130" i="2"/>
  <c r="T130" i="2"/>
  <c r="AC130" i="2"/>
  <c r="U130" i="2"/>
  <c r="X131" i="2"/>
  <c r="P131" i="2"/>
  <c r="Y131" i="2"/>
  <c r="Q131" i="2"/>
  <c r="Z131" i="2"/>
  <c r="R131" i="2"/>
  <c r="AA131" i="2"/>
  <c r="AB131" i="2"/>
  <c r="T131" i="2"/>
  <c r="AC131" i="2"/>
  <c r="U131" i="2"/>
  <c r="X132" i="2"/>
  <c r="P132" i="2"/>
  <c r="Y132" i="2"/>
  <c r="Z132" i="2"/>
  <c r="R132" i="2"/>
  <c r="AA132" i="2"/>
  <c r="S132" i="2"/>
  <c r="AB132" i="2"/>
  <c r="T132" i="2"/>
  <c r="AC132" i="2"/>
  <c r="U132" i="2"/>
  <c r="X133" i="2"/>
  <c r="P133" i="2"/>
  <c r="Y133" i="2"/>
  <c r="Z133" i="2"/>
  <c r="R133" i="2"/>
  <c r="AA133" i="2"/>
  <c r="S133" i="2"/>
  <c r="AB133" i="2"/>
  <c r="T133" i="2"/>
  <c r="AC133" i="2"/>
  <c r="U133" i="2"/>
  <c r="X134" i="2"/>
  <c r="P134" i="2"/>
  <c r="Y134" i="2"/>
  <c r="Z134" i="2"/>
  <c r="R134" i="2"/>
  <c r="AA134" i="2"/>
  <c r="S134" i="2"/>
  <c r="AB134" i="2"/>
  <c r="T134" i="2"/>
  <c r="AC134" i="2"/>
  <c r="U134" i="2"/>
  <c r="X135" i="2"/>
  <c r="P135" i="2"/>
  <c r="Y135" i="2"/>
  <c r="Q135" i="2"/>
  <c r="Z135" i="2"/>
  <c r="R135" i="2"/>
  <c r="AA135" i="2"/>
  <c r="AB135" i="2"/>
  <c r="T135" i="2"/>
  <c r="AC135" i="2"/>
  <c r="U135" i="2"/>
  <c r="X136" i="2"/>
  <c r="P136" i="2"/>
  <c r="Y136" i="2"/>
  <c r="Z136" i="2"/>
  <c r="R136" i="2"/>
  <c r="AA136" i="2"/>
  <c r="S136" i="2"/>
  <c r="AB136" i="2"/>
  <c r="T136" i="2"/>
  <c r="AC136" i="2"/>
  <c r="U136" i="2"/>
  <c r="X137" i="2"/>
  <c r="P137" i="2"/>
  <c r="Y137" i="2"/>
  <c r="Q137" i="2"/>
  <c r="Z137" i="2"/>
  <c r="R137" i="2"/>
  <c r="AA137" i="2"/>
  <c r="S137" i="2"/>
  <c r="AB137" i="2"/>
  <c r="T137" i="2"/>
  <c r="AC137" i="2"/>
  <c r="U137" i="2"/>
  <c r="X138" i="2"/>
  <c r="P138" i="2"/>
  <c r="Y138" i="2"/>
  <c r="Z138" i="2"/>
  <c r="R138" i="2"/>
  <c r="AA138" i="2"/>
  <c r="S138" i="2"/>
  <c r="AB138" i="2"/>
  <c r="T138" i="2"/>
  <c r="AC138" i="2"/>
  <c r="X139" i="2"/>
  <c r="P139" i="2"/>
  <c r="Y139" i="2"/>
  <c r="Q139" i="2"/>
  <c r="Z139" i="2"/>
  <c r="R139" i="2"/>
  <c r="AA139" i="2"/>
  <c r="AB139" i="2"/>
  <c r="T139" i="2"/>
  <c r="AC139" i="2"/>
  <c r="U139" i="2"/>
  <c r="X140" i="2"/>
  <c r="P140" i="2"/>
  <c r="Y140" i="2"/>
  <c r="Z140" i="2"/>
  <c r="R140" i="2"/>
  <c r="AA140" i="2"/>
  <c r="S140" i="2"/>
  <c r="AB140" i="2"/>
  <c r="T140" i="2"/>
  <c r="AC140" i="2"/>
  <c r="U140" i="2"/>
  <c r="X141" i="2"/>
  <c r="P141" i="2"/>
  <c r="Y141" i="2"/>
  <c r="Z141" i="2"/>
  <c r="R141" i="2"/>
  <c r="AA141" i="2"/>
  <c r="S141" i="2"/>
  <c r="AB141" i="2"/>
  <c r="T141" i="2"/>
  <c r="AC141" i="2"/>
  <c r="U141" i="2"/>
  <c r="X142" i="2"/>
  <c r="P142" i="2"/>
  <c r="Y142" i="2"/>
  <c r="Z142" i="2"/>
  <c r="R142" i="2"/>
  <c r="AA142" i="2"/>
  <c r="S142" i="2"/>
  <c r="AB142" i="2"/>
  <c r="T142" i="2"/>
  <c r="AC142" i="2"/>
  <c r="U142" i="2"/>
  <c r="X143" i="2"/>
  <c r="P143" i="2"/>
  <c r="Y143" i="2"/>
  <c r="Q143" i="2"/>
  <c r="Z143" i="2"/>
  <c r="R143" i="2"/>
  <c r="AA143" i="2"/>
  <c r="S143" i="2"/>
  <c r="AB143" i="2"/>
  <c r="T143" i="2"/>
  <c r="AC143" i="2"/>
  <c r="U143" i="2"/>
  <c r="X144" i="2"/>
  <c r="P144" i="2"/>
  <c r="Y144" i="2"/>
  <c r="Z144" i="2"/>
  <c r="R144" i="2"/>
  <c r="AA144" i="2"/>
  <c r="S144" i="2"/>
  <c r="AB144" i="2"/>
  <c r="T144" i="2"/>
  <c r="AC144" i="2"/>
  <c r="U144" i="2"/>
  <c r="X145" i="2"/>
  <c r="P145" i="2"/>
  <c r="Y145" i="2"/>
  <c r="Z145" i="2"/>
  <c r="R145" i="2"/>
  <c r="AA145" i="2"/>
  <c r="S145" i="2"/>
  <c r="AB145" i="2"/>
  <c r="T145" i="2"/>
  <c r="AC145" i="2"/>
  <c r="U145" i="2"/>
  <c r="X146" i="2"/>
  <c r="P146" i="2"/>
  <c r="Y146" i="2"/>
  <c r="Z146" i="2"/>
  <c r="R146" i="2"/>
  <c r="AA146" i="2"/>
  <c r="S146" i="2"/>
  <c r="AB146" i="2"/>
  <c r="T146" i="2"/>
  <c r="AC146" i="2"/>
  <c r="U146" i="2"/>
  <c r="X147" i="2"/>
  <c r="P147" i="2"/>
  <c r="Y147" i="2"/>
  <c r="Q147" i="2"/>
  <c r="Z147" i="2"/>
  <c r="R147" i="2"/>
  <c r="AA147" i="2"/>
  <c r="AB147" i="2"/>
  <c r="T147" i="2"/>
  <c r="AC147" i="2"/>
  <c r="U147" i="2"/>
  <c r="X148" i="2"/>
  <c r="P148" i="2"/>
  <c r="Y148" i="2"/>
  <c r="Q148" i="2"/>
  <c r="Z148" i="2"/>
  <c r="R148" i="2"/>
  <c r="AA148" i="2"/>
  <c r="S148" i="2"/>
  <c r="AB148" i="2"/>
  <c r="T148" i="2"/>
  <c r="AC148" i="2"/>
  <c r="U148" i="2"/>
  <c r="X149" i="2"/>
  <c r="P149" i="2"/>
  <c r="Y149" i="2"/>
  <c r="Z149" i="2"/>
  <c r="R149" i="2"/>
  <c r="AA149" i="2"/>
  <c r="S149" i="2"/>
  <c r="AB149" i="2"/>
  <c r="T149" i="2"/>
  <c r="AC149" i="2"/>
  <c r="U149" i="2"/>
  <c r="X150" i="2"/>
  <c r="P150" i="2"/>
  <c r="Y150" i="2"/>
  <c r="Q150" i="2"/>
  <c r="Z150" i="2"/>
  <c r="R150" i="2"/>
  <c r="AA150" i="2"/>
  <c r="S150" i="2"/>
  <c r="AB150" i="2"/>
  <c r="T150" i="2"/>
  <c r="AC150" i="2"/>
  <c r="U150" i="2"/>
  <c r="X151" i="2"/>
  <c r="P151" i="2"/>
  <c r="Y151" i="2"/>
  <c r="Q151" i="2"/>
  <c r="Z151" i="2"/>
  <c r="R151" i="2"/>
  <c r="AA151" i="2"/>
  <c r="AB151" i="2"/>
  <c r="T151" i="2"/>
  <c r="AC151" i="2"/>
  <c r="U151" i="2"/>
  <c r="X152" i="2"/>
  <c r="P152" i="2"/>
  <c r="Y152" i="2"/>
  <c r="Z152" i="2"/>
  <c r="R152" i="2"/>
  <c r="AA152" i="2"/>
  <c r="S152" i="2"/>
  <c r="AB152" i="2"/>
  <c r="T152" i="2"/>
  <c r="AC152" i="2"/>
  <c r="U152" i="2"/>
  <c r="X153" i="2"/>
  <c r="P153" i="2"/>
  <c r="Y153" i="2"/>
  <c r="Q153" i="2"/>
  <c r="Z153" i="2"/>
  <c r="R153" i="2"/>
  <c r="AA153" i="2"/>
  <c r="S153" i="2"/>
  <c r="AB153" i="2"/>
  <c r="T153" i="2"/>
  <c r="AC153" i="2"/>
  <c r="U153" i="2"/>
  <c r="X154" i="2"/>
  <c r="P154" i="2"/>
  <c r="Y154" i="2"/>
  <c r="Z154" i="2"/>
  <c r="R154" i="2"/>
  <c r="AA154" i="2"/>
  <c r="S154" i="2"/>
  <c r="AB154" i="2"/>
  <c r="T154" i="2"/>
  <c r="AC154" i="2"/>
  <c r="U154" i="2"/>
  <c r="X155" i="2"/>
  <c r="P155" i="2"/>
  <c r="Y155" i="2"/>
  <c r="Q155" i="2"/>
  <c r="Z155" i="2"/>
  <c r="R155" i="2"/>
  <c r="AA155" i="2"/>
  <c r="AB155" i="2"/>
  <c r="T155" i="2"/>
  <c r="AC155" i="2"/>
  <c r="U155" i="2"/>
  <c r="X156" i="2"/>
  <c r="P156" i="2"/>
  <c r="Y156" i="2"/>
  <c r="Z156" i="2"/>
  <c r="R156" i="2"/>
  <c r="AA156" i="2"/>
  <c r="S156" i="2"/>
  <c r="AB156" i="2"/>
  <c r="T156" i="2"/>
  <c r="AC156" i="2"/>
  <c r="U156" i="2"/>
  <c r="X157" i="2"/>
  <c r="P157" i="2"/>
  <c r="Y157" i="2"/>
  <c r="Z157" i="2"/>
  <c r="R157" i="2"/>
  <c r="AA157" i="2"/>
  <c r="S157" i="2"/>
  <c r="AB157" i="2"/>
  <c r="T157" i="2"/>
  <c r="AC157" i="2"/>
  <c r="U157" i="2"/>
  <c r="X158" i="2"/>
  <c r="P158" i="2"/>
  <c r="Y158" i="2"/>
  <c r="Z158" i="2"/>
  <c r="R158" i="2"/>
  <c r="AA158" i="2"/>
  <c r="S158" i="2"/>
  <c r="AB158" i="2"/>
  <c r="T158" i="2"/>
  <c r="AC158" i="2"/>
  <c r="U158" i="2"/>
  <c r="X159" i="2"/>
  <c r="P159" i="2"/>
  <c r="Y159" i="2"/>
  <c r="Q159" i="2"/>
  <c r="Z159" i="2"/>
  <c r="R159" i="2"/>
  <c r="AA159" i="2"/>
  <c r="S159" i="2"/>
  <c r="AB159" i="2"/>
  <c r="T159" i="2"/>
  <c r="AC159" i="2"/>
  <c r="U159" i="2"/>
  <c r="X160" i="2"/>
  <c r="P160" i="2"/>
  <c r="Y160" i="2"/>
  <c r="Q160" i="2"/>
  <c r="Z160" i="2"/>
  <c r="R160" i="2"/>
  <c r="AA160" i="2"/>
  <c r="S160" i="2"/>
  <c r="AB160" i="2"/>
  <c r="T160" i="2"/>
  <c r="AC160" i="2"/>
  <c r="U160" i="2"/>
  <c r="X161" i="2"/>
  <c r="P161" i="2"/>
  <c r="Y161" i="2"/>
  <c r="Q161" i="2"/>
  <c r="Z161" i="2"/>
  <c r="R161" i="2"/>
  <c r="AA161" i="2"/>
  <c r="S161" i="2"/>
  <c r="AB161" i="2"/>
  <c r="T161" i="2"/>
  <c r="AC161" i="2"/>
  <c r="U161" i="2"/>
  <c r="X162" i="2"/>
  <c r="P162" i="2"/>
  <c r="Y162" i="2"/>
  <c r="Z162" i="2"/>
  <c r="R162" i="2"/>
  <c r="AA162" i="2"/>
  <c r="S162" i="2"/>
  <c r="AB162" i="2"/>
  <c r="T162" i="2"/>
  <c r="AC162" i="2"/>
  <c r="U162" i="2"/>
  <c r="X163" i="2"/>
  <c r="P163" i="2"/>
  <c r="Y163" i="2"/>
  <c r="Q163" i="2"/>
  <c r="Z163" i="2"/>
  <c r="R163" i="2"/>
  <c r="AA163" i="2"/>
  <c r="AB163" i="2"/>
  <c r="T163" i="2"/>
  <c r="AC163" i="2"/>
  <c r="U163" i="2"/>
  <c r="X164" i="2"/>
  <c r="P164" i="2"/>
  <c r="Y164" i="2"/>
  <c r="Z164" i="2"/>
  <c r="R164" i="2"/>
  <c r="AA164" i="2"/>
  <c r="S164" i="2"/>
  <c r="AB164" i="2"/>
  <c r="T164" i="2"/>
  <c r="AC164" i="2"/>
  <c r="U164" i="2"/>
  <c r="X165" i="2"/>
  <c r="P165" i="2"/>
  <c r="Y165" i="2"/>
  <c r="Z165" i="2"/>
  <c r="R165" i="2"/>
  <c r="AA165" i="2"/>
  <c r="S165" i="2"/>
  <c r="AB165" i="2"/>
  <c r="T165" i="2"/>
  <c r="AC165" i="2"/>
  <c r="U165" i="2"/>
  <c r="X166" i="2"/>
  <c r="P166" i="2"/>
  <c r="Y166" i="2"/>
  <c r="Q166" i="2"/>
  <c r="Z166" i="2"/>
  <c r="R166" i="2"/>
  <c r="AA166" i="2"/>
  <c r="S166" i="2"/>
  <c r="AB166" i="2"/>
  <c r="T166" i="2"/>
  <c r="AC166" i="2"/>
  <c r="U166" i="2"/>
  <c r="X167" i="2"/>
  <c r="P167" i="2"/>
  <c r="Y167" i="2"/>
  <c r="Q167" i="2"/>
  <c r="Z167" i="2"/>
  <c r="R167" i="2"/>
  <c r="AA167" i="2"/>
  <c r="S167" i="2"/>
  <c r="AB167" i="2"/>
  <c r="T167" i="2"/>
  <c r="AC167" i="2"/>
  <c r="U167" i="2"/>
  <c r="X168" i="2"/>
  <c r="P168" i="2"/>
  <c r="Y168" i="2"/>
  <c r="Z168" i="2"/>
  <c r="R168" i="2"/>
  <c r="AA168" i="2"/>
  <c r="S168" i="2"/>
  <c r="AB168" i="2"/>
  <c r="T168" i="2"/>
  <c r="AC168" i="2"/>
  <c r="U168" i="2"/>
  <c r="X169" i="2"/>
  <c r="P169" i="2"/>
  <c r="Y169" i="2"/>
  <c r="Z169" i="2"/>
  <c r="R169" i="2"/>
  <c r="AA169" i="2"/>
  <c r="S169" i="2"/>
  <c r="AB169" i="2"/>
  <c r="T169" i="2"/>
  <c r="AC169" i="2"/>
  <c r="U169" i="2"/>
  <c r="X170" i="2"/>
  <c r="P170" i="2"/>
  <c r="Y170" i="2"/>
  <c r="Q170" i="2"/>
  <c r="Z170" i="2"/>
  <c r="R170" i="2"/>
  <c r="AA170" i="2"/>
  <c r="S170" i="2"/>
  <c r="AB170" i="2"/>
  <c r="T170" i="2"/>
  <c r="AC170" i="2"/>
  <c r="U170" i="2"/>
  <c r="X171" i="2"/>
  <c r="P171" i="2"/>
  <c r="Y171" i="2"/>
  <c r="Q171" i="2"/>
  <c r="Z171" i="2"/>
  <c r="R171" i="2"/>
  <c r="AA171" i="2"/>
  <c r="AB171" i="2"/>
  <c r="T171" i="2"/>
  <c r="AC171" i="2"/>
  <c r="U171" i="2"/>
  <c r="X172" i="2"/>
  <c r="P172" i="2"/>
  <c r="Y172" i="2"/>
  <c r="Q172" i="2"/>
  <c r="Z172" i="2"/>
  <c r="R172" i="2"/>
  <c r="AA172" i="2"/>
  <c r="AB172" i="2"/>
  <c r="AC172" i="2"/>
  <c r="U172" i="2"/>
  <c r="X173" i="2"/>
  <c r="P173" i="2"/>
  <c r="Y173" i="2"/>
  <c r="Z173" i="2"/>
  <c r="R173" i="2"/>
  <c r="AA173" i="2"/>
  <c r="S173" i="2"/>
  <c r="AB173" i="2"/>
  <c r="T173" i="2"/>
  <c r="AC173" i="2"/>
  <c r="U173" i="2"/>
  <c r="X174" i="2"/>
  <c r="P174" i="2"/>
  <c r="Y174" i="2"/>
  <c r="Z174" i="2"/>
  <c r="R174" i="2"/>
  <c r="AA174" i="2"/>
  <c r="S174" i="2"/>
  <c r="AB174" i="2"/>
  <c r="T174" i="2"/>
  <c r="AC174" i="2"/>
  <c r="U174" i="2"/>
  <c r="X175" i="2"/>
  <c r="P175" i="2"/>
  <c r="Y175" i="2"/>
  <c r="Q175" i="2"/>
  <c r="Z175" i="2"/>
  <c r="R175" i="2"/>
  <c r="AA175" i="2"/>
  <c r="S175" i="2"/>
  <c r="AB175" i="2"/>
  <c r="T175" i="2"/>
  <c r="AC175" i="2"/>
  <c r="U175" i="2"/>
  <c r="X176" i="2"/>
  <c r="P176" i="2"/>
  <c r="Y176" i="2"/>
  <c r="Z176" i="2"/>
  <c r="R176" i="2"/>
  <c r="AA176" i="2"/>
  <c r="S176" i="2"/>
  <c r="AB176" i="2"/>
  <c r="T176" i="2"/>
  <c r="AC176" i="2"/>
  <c r="U176" i="2"/>
  <c r="X177" i="2"/>
  <c r="P177" i="2"/>
  <c r="Y177" i="2"/>
  <c r="Z177" i="2"/>
  <c r="R177" i="2"/>
  <c r="AA177" i="2"/>
  <c r="S177" i="2"/>
  <c r="AB177" i="2"/>
  <c r="T177" i="2"/>
  <c r="AC177" i="2"/>
  <c r="U177" i="2"/>
  <c r="X178" i="2"/>
  <c r="P178" i="2"/>
  <c r="Y178" i="2"/>
  <c r="Z178" i="2"/>
  <c r="R178" i="2"/>
  <c r="AA178" i="2"/>
  <c r="S178" i="2"/>
  <c r="AB178" i="2"/>
  <c r="T178" i="2"/>
  <c r="AC178" i="2"/>
  <c r="U178" i="2"/>
  <c r="X179" i="2"/>
  <c r="P179" i="2"/>
  <c r="Y179" i="2"/>
  <c r="Q179" i="2"/>
  <c r="Z179" i="2"/>
  <c r="R179" i="2"/>
  <c r="AA179" i="2"/>
  <c r="S179" i="2"/>
  <c r="AB179" i="2"/>
  <c r="T179" i="2"/>
  <c r="AC179" i="2"/>
  <c r="U179" i="2"/>
  <c r="X180" i="2"/>
  <c r="P180" i="2"/>
  <c r="Y180" i="2"/>
  <c r="Z180" i="2"/>
  <c r="R180" i="2"/>
  <c r="AA180" i="2"/>
  <c r="S180" i="2"/>
  <c r="AB180" i="2"/>
  <c r="T180" i="2"/>
  <c r="AC180" i="2"/>
  <c r="U180" i="2"/>
  <c r="X181" i="2"/>
  <c r="P181" i="2"/>
  <c r="Y181" i="2"/>
  <c r="Z181" i="2"/>
  <c r="R181" i="2"/>
  <c r="AA181" i="2"/>
  <c r="S181" i="2"/>
  <c r="AB181" i="2"/>
  <c r="T181" i="2"/>
  <c r="AC181" i="2"/>
  <c r="U181" i="2"/>
  <c r="X182" i="2"/>
  <c r="P182" i="2"/>
  <c r="Y182" i="2"/>
  <c r="Q182" i="2"/>
  <c r="Z182" i="2"/>
  <c r="R182" i="2"/>
  <c r="AA182" i="2"/>
  <c r="S182" i="2"/>
  <c r="AB182" i="2"/>
  <c r="T182" i="2"/>
  <c r="AC182" i="2"/>
  <c r="U182" i="2"/>
  <c r="X183" i="2"/>
  <c r="P183" i="2"/>
  <c r="Y183" i="2"/>
  <c r="Q183" i="2"/>
  <c r="Z183" i="2"/>
  <c r="R183" i="2"/>
  <c r="AA183" i="2"/>
  <c r="S183" i="2"/>
  <c r="AB183" i="2"/>
  <c r="T183" i="2"/>
  <c r="AC183" i="2"/>
  <c r="U183" i="2"/>
  <c r="X184" i="2"/>
  <c r="P184" i="2"/>
  <c r="Y184" i="2"/>
  <c r="Z184" i="2"/>
  <c r="R184" i="2"/>
  <c r="AA184" i="2"/>
  <c r="S184" i="2"/>
  <c r="AB184" i="2"/>
  <c r="T184" i="2"/>
  <c r="AC184" i="2"/>
  <c r="U184" i="2"/>
  <c r="X185" i="2"/>
  <c r="P185" i="2"/>
  <c r="Y185" i="2"/>
  <c r="Z185" i="2"/>
  <c r="R185" i="2"/>
  <c r="AA185" i="2"/>
  <c r="S185" i="2"/>
  <c r="AB185" i="2"/>
  <c r="T185" i="2"/>
  <c r="AC185" i="2"/>
  <c r="U185" i="2"/>
  <c r="X186" i="2"/>
  <c r="P186" i="2"/>
  <c r="Y186" i="2"/>
  <c r="Z186" i="2"/>
  <c r="R186" i="2"/>
  <c r="AA186" i="2"/>
  <c r="S186" i="2"/>
  <c r="AB186" i="2"/>
  <c r="T186" i="2"/>
  <c r="AC186" i="2"/>
  <c r="U186" i="2"/>
  <c r="X187" i="2"/>
  <c r="P187" i="2"/>
  <c r="Y187" i="2"/>
  <c r="Q187" i="2"/>
  <c r="Z187" i="2"/>
  <c r="R187" i="2"/>
  <c r="AA187" i="2"/>
  <c r="AB187" i="2"/>
  <c r="T187" i="2"/>
  <c r="AC187" i="2"/>
  <c r="U187" i="2"/>
  <c r="X188" i="2"/>
  <c r="P188" i="2"/>
  <c r="Y188" i="2"/>
  <c r="Q188" i="2"/>
  <c r="Z188" i="2"/>
  <c r="R188" i="2"/>
  <c r="AA188" i="2"/>
  <c r="S188" i="2"/>
  <c r="AB188" i="2"/>
  <c r="T188" i="2"/>
  <c r="AC188" i="2"/>
  <c r="U188" i="2"/>
  <c r="X189" i="2"/>
  <c r="P189" i="2"/>
  <c r="Y189" i="2"/>
  <c r="Z189" i="2"/>
  <c r="R189" i="2"/>
  <c r="AA189" i="2"/>
  <c r="S189" i="2"/>
  <c r="AB189" i="2"/>
  <c r="T189" i="2"/>
  <c r="AC189" i="2"/>
  <c r="U189" i="2"/>
  <c r="X190" i="2"/>
  <c r="P190" i="2"/>
  <c r="Y190" i="2"/>
  <c r="Q190" i="2"/>
  <c r="Z190" i="2"/>
  <c r="R190" i="2"/>
  <c r="AA190" i="2"/>
  <c r="S190" i="2"/>
  <c r="AB190" i="2"/>
  <c r="T190" i="2"/>
  <c r="AC190" i="2"/>
  <c r="U190" i="2"/>
  <c r="X191" i="2"/>
  <c r="P191" i="2"/>
  <c r="Y191" i="2"/>
  <c r="Q191" i="2"/>
  <c r="Z191" i="2"/>
  <c r="R191" i="2"/>
  <c r="AA191" i="2"/>
  <c r="AB191" i="2"/>
  <c r="T191" i="2"/>
  <c r="AC191" i="2"/>
  <c r="U191" i="2"/>
  <c r="X192" i="2"/>
  <c r="P192" i="2"/>
  <c r="Y192" i="2"/>
  <c r="Z192" i="2"/>
  <c r="R192" i="2"/>
  <c r="AA192" i="2"/>
  <c r="S192" i="2"/>
  <c r="AB192" i="2"/>
  <c r="T192" i="2"/>
  <c r="AC192" i="2"/>
  <c r="U192" i="2"/>
  <c r="X193" i="2"/>
  <c r="P193" i="2"/>
  <c r="Y193" i="2"/>
  <c r="Z193" i="2"/>
  <c r="R193" i="2"/>
  <c r="AA193" i="2"/>
  <c r="S193" i="2"/>
  <c r="AB193" i="2"/>
  <c r="T193" i="2"/>
  <c r="AC193" i="2"/>
  <c r="U193" i="2"/>
  <c r="X194" i="2"/>
  <c r="P194" i="2"/>
  <c r="Y194" i="2"/>
  <c r="Q194" i="2"/>
  <c r="Z194" i="2"/>
  <c r="R194" i="2"/>
  <c r="AA194" i="2"/>
  <c r="S194" i="2"/>
  <c r="AB194" i="2"/>
  <c r="T194" i="2"/>
  <c r="AC194" i="2"/>
  <c r="U194" i="2"/>
  <c r="X195" i="2"/>
  <c r="P195" i="2"/>
  <c r="Y195" i="2"/>
  <c r="Q195" i="2"/>
  <c r="Z195" i="2"/>
  <c r="R195" i="2"/>
  <c r="AA195" i="2"/>
  <c r="S195" i="2"/>
  <c r="AB195" i="2"/>
  <c r="T195" i="2"/>
  <c r="AC195" i="2"/>
  <c r="U195" i="2"/>
  <c r="X196" i="2"/>
  <c r="P196" i="2"/>
  <c r="Y196" i="2"/>
  <c r="Z196" i="2"/>
  <c r="R196" i="2"/>
  <c r="AA196" i="2"/>
  <c r="S196" i="2"/>
  <c r="AB196" i="2"/>
  <c r="T196" i="2"/>
  <c r="AC196" i="2"/>
  <c r="U196" i="2"/>
  <c r="X197" i="2"/>
  <c r="P197" i="2"/>
  <c r="Y197" i="2"/>
  <c r="Z197" i="2"/>
  <c r="R197" i="2"/>
  <c r="AA197" i="2"/>
  <c r="S197" i="2"/>
  <c r="AB197" i="2"/>
  <c r="T197" i="2"/>
  <c r="AC197" i="2"/>
  <c r="U197" i="2"/>
  <c r="X198" i="2"/>
  <c r="P198" i="2"/>
  <c r="Y198" i="2"/>
  <c r="Z198" i="2"/>
  <c r="R198" i="2"/>
  <c r="AA198" i="2"/>
  <c r="S198" i="2"/>
  <c r="AB198" i="2"/>
  <c r="T198" i="2"/>
  <c r="AC198" i="2"/>
  <c r="U198" i="2"/>
  <c r="X199" i="2"/>
  <c r="P199" i="2"/>
  <c r="Y199" i="2"/>
  <c r="Q199" i="2"/>
  <c r="Z199" i="2"/>
  <c r="R199" i="2"/>
  <c r="AA199" i="2"/>
  <c r="AB199" i="2"/>
  <c r="T199" i="2"/>
  <c r="AC199" i="2"/>
  <c r="U199" i="2"/>
  <c r="X200" i="2"/>
  <c r="P200" i="2"/>
  <c r="Y200" i="2"/>
  <c r="Q200" i="2"/>
  <c r="Z200" i="2"/>
  <c r="R200" i="2"/>
  <c r="AA200" i="2"/>
  <c r="S200" i="2"/>
  <c r="AB200" i="2"/>
  <c r="T200" i="2"/>
  <c r="AC200" i="2"/>
  <c r="U200" i="2"/>
  <c r="X201" i="2"/>
  <c r="P201" i="2"/>
  <c r="Y201" i="2"/>
  <c r="Z201" i="2"/>
  <c r="R201" i="2"/>
  <c r="AA201" i="2"/>
  <c r="S201" i="2"/>
  <c r="AB201" i="2"/>
  <c r="T201" i="2"/>
  <c r="AC201" i="2"/>
  <c r="U201" i="2"/>
  <c r="X202" i="2"/>
  <c r="P202" i="2"/>
  <c r="Y202" i="2"/>
  <c r="Z202" i="2"/>
  <c r="R202" i="2"/>
  <c r="AA202" i="2"/>
  <c r="S202" i="2"/>
  <c r="AB202" i="2"/>
  <c r="T202" i="2"/>
  <c r="AC202" i="2"/>
  <c r="U202" i="2"/>
  <c r="X203" i="2"/>
  <c r="P203" i="2"/>
  <c r="Y203" i="2"/>
  <c r="Q203" i="2"/>
  <c r="Z203" i="2"/>
  <c r="R203" i="2"/>
  <c r="AA203" i="2"/>
  <c r="S203" i="2"/>
  <c r="AB203" i="2"/>
  <c r="T203" i="2"/>
  <c r="AC203" i="2"/>
  <c r="U203" i="2"/>
  <c r="X204" i="2"/>
  <c r="P204" i="2"/>
  <c r="Y204" i="2"/>
  <c r="Z204" i="2"/>
  <c r="R204" i="2"/>
  <c r="AA204" i="2"/>
  <c r="S204" i="2"/>
  <c r="AB204" i="2"/>
  <c r="T204" i="2"/>
  <c r="AC204" i="2"/>
  <c r="U204" i="2"/>
  <c r="X205" i="2"/>
  <c r="P205" i="2"/>
  <c r="Y205" i="2"/>
  <c r="Z205" i="2"/>
  <c r="R205" i="2"/>
  <c r="AA205" i="2"/>
  <c r="S205" i="2"/>
  <c r="AB205" i="2"/>
  <c r="T205" i="2"/>
  <c r="AC205" i="2"/>
  <c r="U205" i="2"/>
  <c r="X206" i="2"/>
  <c r="P206" i="2"/>
  <c r="Y206" i="2"/>
  <c r="Z206" i="2"/>
  <c r="R206" i="2"/>
  <c r="AA206" i="2"/>
  <c r="S206" i="2"/>
  <c r="AB206" i="2"/>
  <c r="T206" i="2"/>
  <c r="AC206" i="2"/>
  <c r="U206" i="2"/>
  <c r="X207" i="2"/>
  <c r="P207" i="2"/>
  <c r="Y207" i="2"/>
  <c r="Q207" i="2"/>
  <c r="Z207" i="2"/>
  <c r="R207" i="2"/>
  <c r="AA207" i="2"/>
  <c r="S207" i="2"/>
  <c r="AB207" i="2"/>
  <c r="T207" i="2"/>
  <c r="AC207" i="2"/>
  <c r="U207" i="2"/>
  <c r="X208" i="2"/>
  <c r="P208" i="2"/>
  <c r="Y208" i="2"/>
  <c r="Z208" i="2"/>
  <c r="R208" i="2"/>
  <c r="AA208" i="2"/>
  <c r="S208" i="2"/>
  <c r="AB208" i="2"/>
  <c r="T208" i="2"/>
  <c r="AC208" i="2"/>
  <c r="U208" i="2"/>
  <c r="X209" i="2"/>
  <c r="P209" i="2"/>
  <c r="Y209" i="2"/>
  <c r="Z209" i="2"/>
  <c r="R209" i="2"/>
  <c r="AA209" i="2"/>
  <c r="S209" i="2"/>
  <c r="AB209" i="2"/>
  <c r="T209" i="2"/>
  <c r="AC209" i="2"/>
  <c r="U209" i="2"/>
  <c r="X210" i="2"/>
  <c r="P210" i="2"/>
  <c r="Y210" i="2"/>
  <c r="Q210" i="2"/>
  <c r="Z210" i="2"/>
  <c r="R210" i="2"/>
  <c r="AA210" i="2"/>
  <c r="S210" i="2"/>
  <c r="AB210" i="2"/>
  <c r="T210" i="2"/>
  <c r="AC210" i="2"/>
  <c r="X211" i="2"/>
  <c r="P211" i="2"/>
  <c r="Y211" i="2"/>
  <c r="Q211" i="2"/>
  <c r="Z211" i="2"/>
  <c r="R211" i="2"/>
  <c r="AA211" i="2"/>
  <c r="AB211" i="2"/>
  <c r="T211" i="2"/>
  <c r="AC211" i="2"/>
  <c r="U211" i="2"/>
  <c r="X212" i="2"/>
  <c r="P212" i="2"/>
  <c r="Y212" i="2"/>
  <c r="Z212" i="2"/>
  <c r="R212" i="2"/>
  <c r="AA212" i="2"/>
  <c r="S212" i="2"/>
  <c r="AB212" i="2"/>
  <c r="T212" i="2"/>
  <c r="AC212" i="2"/>
  <c r="U212" i="2"/>
  <c r="X213" i="2"/>
  <c r="P213" i="2"/>
  <c r="Y213" i="2"/>
  <c r="Z213" i="2"/>
  <c r="R213" i="2"/>
  <c r="AA213" i="2"/>
  <c r="S213" i="2"/>
  <c r="AB213" i="2"/>
  <c r="T213" i="2"/>
  <c r="AC213" i="2"/>
  <c r="U213" i="2"/>
  <c r="X214" i="2"/>
  <c r="P214" i="2"/>
  <c r="Y214" i="2"/>
  <c r="Z214" i="2"/>
  <c r="R214" i="2"/>
  <c r="AA214" i="2"/>
  <c r="S214" i="2"/>
  <c r="AB214" i="2"/>
  <c r="T214" i="2"/>
  <c r="AC214" i="2"/>
  <c r="U214" i="2"/>
  <c r="X215" i="2"/>
  <c r="P215" i="2"/>
  <c r="Y215" i="2"/>
  <c r="Q215" i="2"/>
  <c r="Z215" i="2"/>
  <c r="R215" i="2"/>
  <c r="AA215" i="2"/>
  <c r="AB215" i="2"/>
  <c r="T215" i="2"/>
  <c r="AC215" i="2"/>
  <c r="U215" i="2"/>
  <c r="X216" i="2"/>
  <c r="P216" i="2"/>
  <c r="Y216" i="2"/>
  <c r="Q216" i="2"/>
  <c r="Z216" i="2"/>
  <c r="R216" i="2"/>
  <c r="AA216" i="2"/>
  <c r="S216" i="2"/>
  <c r="AB216" i="2"/>
  <c r="T216" i="2"/>
  <c r="AC216" i="2"/>
  <c r="U216" i="2"/>
  <c r="X217" i="2"/>
  <c r="P217" i="2"/>
  <c r="Y217" i="2"/>
  <c r="Z217" i="2"/>
  <c r="R217" i="2"/>
  <c r="AA217" i="2"/>
  <c r="S217" i="2"/>
  <c r="AB217" i="2"/>
  <c r="T217" i="2"/>
  <c r="AC217" i="2"/>
  <c r="U217" i="2"/>
  <c r="X218" i="2"/>
  <c r="Y218" i="2"/>
  <c r="Z218" i="2"/>
  <c r="R218" i="2"/>
  <c r="AA218" i="2"/>
  <c r="S218" i="2"/>
  <c r="AB218" i="2"/>
  <c r="T218" i="2"/>
  <c r="AC218" i="2"/>
  <c r="U218" i="2"/>
  <c r="X219" i="2"/>
  <c r="P219" i="2"/>
  <c r="Y219" i="2"/>
  <c r="Q219" i="2"/>
  <c r="Z219" i="2"/>
  <c r="R219" i="2"/>
  <c r="AA219" i="2"/>
  <c r="S219" i="2"/>
  <c r="AB219" i="2"/>
  <c r="T219" i="2"/>
  <c r="AC219" i="2"/>
  <c r="U219" i="2"/>
  <c r="X220" i="2"/>
  <c r="P220" i="2"/>
  <c r="Y220" i="2"/>
  <c r="Z220" i="2"/>
  <c r="R220" i="2"/>
  <c r="AA220" i="2"/>
  <c r="S220" i="2"/>
  <c r="AB220" i="2"/>
  <c r="T220" i="2"/>
  <c r="AC220" i="2"/>
  <c r="U220" i="2"/>
  <c r="X221" i="2"/>
  <c r="P221" i="2"/>
  <c r="Y221" i="2"/>
  <c r="Q221" i="2"/>
  <c r="Z221" i="2"/>
  <c r="R221" i="2"/>
  <c r="AA221" i="2"/>
  <c r="S221" i="2"/>
  <c r="AB221" i="2"/>
  <c r="T221" i="2"/>
  <c r="AC221" i="2"/>
  <c r="U221" i="2"/>
  <c r="X222" i="2"/>
  <c r="P222" i="2"/>
  <c r="Y222" i="2"/>
  <c r="Q222" i="2"/>
  <c r="Z222" i="2"/>
  <c r="R222" i="2"/>
  <c r="AA222" i="2"/>
  <c r="S222" i="2"/>
  <c r="AB222" i="2"/>
  <c r="T222" i="2"/>
  <c r="AC222" i="2"/>
  <c r="U222" i="2"/>
  <c r="X223" i="2"/>
  <c r="P223" i="2"/>
  <c r="Y223" i="2"/>
  <c r="Q223" i="2"/>
  <c r="Z223" i="2"/>
  <c r="R223" i="2"/>
  <c r="AA223" i="2"/>
  <c r="AB223" i="2"/>
  <c r="T223" i="2"/>
  <c r="AC223" i="2"/>
  <c r="U223" i="2"/>
  <c r="X224" i="2"/>
  <c r="P224" i="2"/>
  <c r="Y224" i="2"/>
  <c r="Z224" i="2"/>
  <c r="R224" i="2"/>
  <c r="AA224" i="2"/>
  <c r="S224" i="2"/>
  <c r="AB224" i="2"/>
  <c r="T224" i="2"/>
  <c r="AC224" i="2"/>
  <c r="U224" i="2"/>
  <c r="X225" i="2"/>
  <c r="P225" i="2"/>
  <c r="Y225" i="2"/>
  <c r="Q225" i="2"/>
  <c r="Z225" i="2"/>
  <c r="R225" i="2"/>
  <c r="AA225" i="2"/>
  <c r="S225" i="2"/>
  <c r="AB225" i="2"/>
  <c r="T225" i="2"/>
  <c r="AC225" i="2"/>
  <c r="U225" i="2"/>
  <c r="X226" i="2"/>
  <c r="P226" i="2"/>
  <c r="Y226" i="2"/>
  <c r="Q226" i="2"/>
  <c r="Z226" i="2"/>
  <c r="R226" i="2"/>
  <c r="AA226" i="2"/>
  <c r="S226" i="2"/>
  <c r="AB226" i="2"/>
  <c r="T226" i="2"/>
  <c r="AC226" i="2"/>
  <c r="U226" i="2"/>
  <c r="X227" i="2"/>
  <c r="P227" i="2"/>
  <c r="Y227" i="2"/>
  <c r="Q227" i="2"/>
  <c r="Z227" i="2"/>
  <c r="R227" i="2"/>
  <c r="AA227" i="2"/>
  <c r="S227" i="2"/>
  <c r="AB227" i="2"/>
  <c r="T227" i="2"/>
  <c r="AC227" i="2"/>
  <c r="U227" i="2"/>
  <c r="X228" i="2"/>
  <c r="P228" i="2"/>
  <c r="Y228" i="2"/>
  <c r="Z228" i="2"/>
  <c r="R228" i="2"/>
  <c r="AA228" i="2"/>
  <c r="S228" i="2"/>
  <c r="AB228" i="2"/>
  <c r="T228" i="2"/>
  <c r="AC228" i="2"/>
  <c r="U228" i="2"/>
  <c r="X229" i="2"/>
  <c r="P229" i="2"/>
  <c r="Y229" i="2"/>
  <c r="Q229" i="2"/>
  <c r="Z229" i="2"/>
  <c r="R229" i="2"/>
  <c r="AA229" i="2"/>
  <c r="S229" i="2"/>
  <c r="AB229" i="2"/>
  <c r="T229" i="2"/>
  <c r="AC229" i="2"/>
  <c r="U229" i="2"/>
  <c r="X230" i="2"/>
  <c r="P230" i="2"/>
  <c r="Y230" i="2"/>
  <c r="Z230" i="2"/>
  <c r="R230" i="2"/>
  <c r="AA230" i="2"/>
  <c r="S230" i="2"/>
  <c r="AB230" i="2"/>
  <c r="T230" i="2"/>
  <c r="AC230" i="2"/>
  <c r="U230" i="2"/>
  <c r="X231" i="2"/>
  <c r="P231" i="2"/>
  <c r="Y231" i="2"/>
  <c r="Q231" i="2"/>
  <c r="Z231" i="2"/>
  <c r="R231" i="2"/>
  <c r="AA231" i="2"/>
  <c r="AB231" i="2"/>
  <c r="T231" i="2"/>
  <c r="AC231" i="2"/>
  <c r="U231" i="2"/>
  <c r="X232" i="2"/>
  <c r="P232" i="2"/>
  <c r="Y232" i="2"/>
  <c r="Z232" i="2"/>
  <c r="R232" i="2"/>
  <c r="AA232" i="2"/>
  <c r="S232" i="2"/>
  <c r="AB232" i="2"/>
  <c r="T232" i="2"/>
  <c r="AC232" i="2"/>
  <c r="U232" i="2"/>
  <c r="X233" i="2"/>
  <c r="P233" i="2"/>
  <c r="Y233" i="2"/>
  <c r="Q233" i="2"/>
  <c r="Z233" i="2"/>
  <c r="R233" i="2"/>
  <c r="AA233" i="2"/>
  <c r="S233" i="2"/>
  <c r="AB233" i="2"/>
  <c r="T233" i="2"/>
  <c r="AC233" i="2"/>
  <c r="U233" i="2"/>
  <c r="X234" i="2"/>
  <c r="P234" i="2"/>
  <c r="Y234" i="2"/>
  <c r="Q234" i="2"/>
  <c r="Z234" i="2"/>
  <c r="R234" i="2"/>
  <c r="AA234" i="2"/>
  <c r="S234" i="2"/>
  <c r="AB234" i="2"/>
  <c r="T234" i="2"/>
  <c r="AC234" i="2"/>
  <c r="U234" i="2"/>
  <c r="X235" i="2"/>
  <c r="P235" i="2"/>
  <c r="Y235" i="2"/>
  <c r="Q235" i="2"/>
  <c r="Z235" i="2"/>
  <c r="R235" i="2"/>
  <c r="AA235" i="2"/>
  <c r="S235" i="2"/>
  <c r="AB235" i="2"/>
  <c r="T235" i="2"/>
  <c r="AC235" i="2"/>
  <c r="U235" i="2"/>
  <c r="X236" i="2"/>
  <c r="P236" i="2"/>
  <c r="Y236" i="2"/>
  <c r="Z236" i="2"/>
  <c r="R236" i="2"/>
  <c r="AA236" i="2"/>
  <c r="S236" i="2"/>
  <c r="AB236" i="2"/>
  <c r="T236" i="2"/>
  <c r="AC236" i="2"/>
  <c r="U236" i="2"/>
  <c r="X237" i="2"/>
  <c r="P237" i="2"/>
  <c r="Y237" i="2"/>
  <c r="Z237" i="2"/>
  <c r="R237" i="2"/>
  <c r="AA237" i="2"/>
  <c r="S237" i="2"/>
  <c r="AB237" i="2"/>
  <c r="T237" i="2"/>
  <c r="AC237" i="2"/>
  <c r="U237" i="2"/>
  <c r="X238" i="2"/>
  <c r="P238" i="2"/>
  <c r="Y238" i="2"/>
  <c r="Z238" i="2"/>
  <c r="R238" i="2"/>
  <c r="AA238" i="2"/>
  <c r="S238" i="2"/>
  <c r="AB238" i="2"/>
  <c r="T238" i="2"/>
  <c r="AC238" i="2"/>
  <c r="U238" i="2"/>
  <c r="X239" i="2"/>
  <c r="P239" i="2"/>
  <c r="Y239" i="2"/>
  <c r="Q239" i="2"/>
  <c r="Z239" i="2"/>
  <c r="R239" i="2"/>
  <c r="AA239" i="2"/>
  <c r="S239" i="2"/>
  <c r="AB239" i="2"/>
  <c r="T239" i="2"/>
  <c r="AC239" i="2"/>
  <c r="U239" i="2"/>
  <c r="X240" i="2"/>
  <c r="P240" i="2"/>
  <c r="Y240" i="2"/>
  <c r="Z240" i="2"/>
  <c r="R240" i="2"/>
  <c r="AA240" i="2"/>
  <c r="S240" i="2"/>
  <c r="AB240" i="2"/>
  <c r="T240" i="2"/>
  <c r="AC240" i="2"/>
  <c r="U240" i="2"/>
  <c r="X241" i="2"/>
  <c r="P241" i="2"/>
  <c r="Y241" i="2"/>
  <c r="Z241" i="2"/>
  <c r="R241" i="2"/>
  <c r="AA241" i="2"/>
  <c r="S241" i="2"/>
  <c r="AB241" i="2"/>
  <c r="T241" i="2"/>
  <c r="AC241" i="2"/>
  <c r="U241" i="2"/>
  <c r="X242" i="2"/>
  <c r="P242" i="2"/>
  <c r="Y242" i="2"/>
  <c r="Q242" i="2"/>
  <c r="Z242" i="2"/>
  <c r="R242" i="2"/>
  <c r="AA242" i="2"/>
  <c r="S242" i="2"/>
  <c r="AB242" i="2"/>
  <c r="T242" i="2"/>
  <c r="AC242" i="2"/>
  <c r="U242" i="2"/>
  <c r="X243" i="2"/>
  <c r="P243" i="2"/>
  <c r="Y243" i="2"/>
  <c r="Q243" i="2"/>
  <c r="Z243" i="2"/>
  <c r="R243" i="2"/>
  <c r="AA243" i="2"/>
  <c r="S243" i="2"/>
  <c r="AB243" i="2"/>
  <c r="T243" i="2"/>
  <c r="AC243" i="2"/>
  <c r="U243" i="2"/>
  <c r="X244" i="2"/>
  <c r="P244" i="2"/>
  <c r="Y244" i="2"/>
  <c r="Z244" i="2"/>
  <c r="R244" i="2"/>
  <c r="AA244" i="2"/>
  <c r="S244" i="2"/>
  <c r="AB244" i="2"/>
  <c r="T244" i="2"/>
  <c r="AC244" i="2"/>
  <c r="U244" i="2"/>
  <c r="X245" i="2"/>
  <c r="P245" i="2"/>
  <c r="Y245" i="2"/>
  <c r="Z245" i="2"/>
  <c r="R245" i="2"/>
  <c r="AA245" i="2"/>
  <c r="S245" i="2"/>
  <c r="AB245" i="2"/>
  <c r="T245" i="2"/>
  <c r="AC245" i="2"/>
  <c r="U245" i="2"/>
  <c r="X246" i="2"/>
  <c r="P246" i="2"/>
  <c r="Y246" i="2"/>
  <c r="Z246" i="2"/>
  <c r="R246" i="2"/>
  <c r="AA246" i="2"/>
  <c r="S246" i="2"/>
  <c r="AB246" i="2"/>
  <c r="T246" i="2"/>
  <c r="AC246" i="2"/>
  <c r="U246" i="2"/>
  <c r="X247" i="2"/>
  <c r="P247" i="2"/>
  <c r="Y247" i="2"/>
  <c r="Q247" i="2"/>
  <c r="Z247" i="2"/>
  <c r="R247" i="2"/>
  <c r="AA247" i="2"/>
  <c r="S247" i="2"/>
  <c r="AB247" i="2"/>
  <c r="T247" i="2"/>
  <c r="AC247" i="2"/>
  <c r="U247" i="2"/>
  <c r="X248" i="2"/>
  <c r="P248" i="2"/>
  <c r="Y248" i="2"/>
  <c r="Q248" i="2"/>
  <c r="Z248" i="2"/>
  <c r="R248" i="2"/>
  <c r="AA248" i="2"/>
  <c r="AB248" i="2"/>
  <c r="T248" i="2"/>
  <c r="AC248" i="2"/>
  <c r="U248" i="2"/>
  <c r="X249" i="2"/>
  <c r="P249" i="2"/>
  <c r="Y249" i="2"/>
  <c r="Z249" i="2"/>
  <c r="R249" i="2"/>
  <c r="AA249" i="2"/>
  <c r="S249" i="2"/>
  <c r="AB249" i="2"/>
  <c r="T249" i="2"/>
  <c r="AC249" i="2"/>
  <c r="U249" i="2"/>
  <c r="X250" i="2"/>
  <c r="P250" i="2"/>
  <c r="Y250" i="2"/>
  <c r="Z250" i="2"/>
  <c r="R250" i="2"/>
  <c r="AA250" i="2"/>
  <c r="S250" i="2"/>
  <c r="AB250" i="2"/>
  <c r="T250" i="2"/>
  <c r="AC250" i="2"/>
  <c r="U250" i="2"/>
  <c r="AB11" i="2"/>
  <c r="T11" i="2"/>
  <c r="AA11" i="2"/>
  <c r="S11" i="2"/>
  <c r="Z11" i="2"/>
  <c r="Y11" i="2"/>
  <c r="Q11" i="2"/>
  <c r="X11" i="2"/>
  <c r="P11" i="2"/>
  <c r="A1" i="37988"/>
  <c r="C1" i="37988"/>
  <c r="E9" i="37988"/>
  <c r="H9" i="37988"/>
  <c r="K9" i="37988"/>
  <c r="N9" i="37988"/>
  <c r="Q9" i="37988"/>
  <c r="T9" i="37988"/>
  <c r="W9" i="37988"/>
  <c r="Z9" i="37988"/>
  <c r="AC9" i="37988"/>
  <c r="AF9" i="37988"/>
  <c r="AL9" i="37988"/>
  <c r="AO9" i="37988"/>
  <c r="AR9" i="37988"/>
  <c r="AU9" i="37988"/>
  <c r="AX9" i="37988"/>
  <c r="BA9" i="37988"/>
  <c r="BD9" i="37988"/>
  <c r="BG9" i="37988"/>
  <c r="BJ9" i="37988"/>
  <c r="BM9" i="37988"/>
  <c r="Q1" i="37998"/>
  <c r="D11" i="37998"/>
  <c r="E11" i="37998"/>
  <c r="G11" i="37998"/>
  <c r="H11" i="37998"/>
  <c r="J11" i="37998"/>
  <c r="D12" i="37998"/>
  <c r="E12" i="37998"/>
  <c r="L12" i="37998"/>
  <c r="M12" i="37998"/>
  <c r="H79" i="37988"/>
  <c r="G12" i="37998"/>
  <c r="H12" i="37998"/>
  <c r="J12" i="37998"/>
  <c r="K12" i="37998"/>
  <c r="D13" i="37998"/>
  <c r="E13" i="37998"/>
  <c r="G13" i="37998"/>
  <c r="J13" i="37998"/>
  <c r="K13" i="37998"/>
  <c r="D14" i="37998"/>
  <c r="E14" i="37998"/>
  <c r="L14" i="37998"/>
  <c r="M14" i="37998"/>
  <c r="N79" i="37988"/>
  <c r="G14" i="37998"/>
  <c r="H14" i="37998"/>
  <c r="J14" i="37998"/>
  <c r="K14" i="37998"/>
  <c r="D15" i="37998"/>
  <c r="E15" i="37998"/>
  <c r="G15" i="37998"/>
  <c r="J15" i="37998"/>
  <c r="K15" i="37998"/>
  <c r="D16" i="37998"/>
  <c r="E16" i="37998"/>
  <c r="L16" i="37998"/>
  <c r="M16" i="37998"/>
  <c r="T79" i="37988"/>
  <c r="G16" i="37998"/>
  <c r="H16" i="37998"/>
  <c r="J16" i="37998"/>
  <c r="K16" i="37998"/>
  <c r="D17" i="37998"/>
  <c r="E17" i="37998"/>
  <c r="G17" i="37998"/>
  <c r="H17" i="37998"/>
  <c r="J17" i="37998"/>
  <c r="D18" i="37998"/>
  <c r="G18" i="37998"/>
  <c r="H18" i="37998"/>
  <c r="J18" i="37998"/>
  <c r="K18" i="37998"/>
  <c r="D19" i="37998"/>
  <c r="E19" i="37998"/>
  <c r="G19" i="37998"/>
  <c r="H19" i="37998"/>
  <c r="J19" i="37998"/>
  <c r="K19" i="37998"/>
  <c r="D20" i="37998"/>
  <c r="E20" i="37998"/>
  <c r="G20" i="37998"/>
  <c r="H20" i="37998"/>
  <c r="J20" i="37998"/>
  <c r="K20" i="37998"/>
  <c r="D21" i="37998"/>
  <c r="E21" i="37998"/>
  <c r="G21" i="37998"/>
  <c r="H21" i="37998"/>
  <c r="J21" i="37998"/>
  <c r="K21" i="37998"/>
  <c r="D22" i="37998"/>
  <c r="E22" i="37998"/>
  <c r="G22" i="37998"/>
  <c r="J22" i="37998"/>
  <c r="K22" i="37998"/>
  <c r="D23" i="37998"/>
  <c r="E23" i="37998"/>
  <c r="G23" i="37998"/>
  <c r="J23" i="37998"/>
  <c r="D24" i="37998"/>
  <c r="E24" i="37998"/>
  <c r="G24" i="37998"/>
  <c r="H24" i="37998"/>
  <c r="J24" i="37998"/>
  <c r="K24" i="37998"/>
  <c r="D25" i="37998"/>
  <c r="E25" i="37998"/>
  <c r="G25" i="37998"/>
  <c r="J25" i="37998"/>
  <c r="K25" i="37998"/>
  <c r="D26" i="37998"/>
  <c r="E26" i="37998"/>
  <c r="G26" i="37998"/>
  <c r="H26" i="37998"/>
  <c r="J26" i="37998"/>
  <c r="K26" i="37998"/>
  <c r="D27" i="37998"/>
  <c r="E27" i="37998"/>
  <c r="G27" i="37998"/>
  <c r="H27" i="37998"/>
  <c r="J27" i="37998"/>
  <c r="K27" i="37998"/>
  <c r="D28" i="37998"/>
  <c r="G28" i="37998"/>
  <c r="H28" i="37998"/>
  <c r="J28" i="37998"/>
  <c r="K28" i="37998"/>
  <c r="D29" i="37998"/>
  <c r="E29" i="37998"/>
  <c r="G29" i="37998"/>
  <c r="H29" i="37998"/>
  <c r="J29" i="37998"/>
  <c r="K29" i="37998"/>
  <c r="D30" i="37998"/>
  <c r="E30" i="37998"/>
  <c r="G30" i="37998"/>
  <c r="H30" i="37998"/>
  <c r="J30" i="37998"/>
  <c r="K30" i="37998"/>
  <c r="B11" i="2"/>
  <c r="R15" i="2"/>
  <c r="T15" i="2"/>
  <c r="Q17" i="2"/>
  <c r="R19" i="2"/>
  <c r="B23" i="2"/>
  <c r="Q25" i="2"/>
  <c r="P26" i="2"/>
  <c r="Q32" i="2"/>
  <c r="B35" i="2"/>
  <c r="B47" i="2"/>
  <c r="Q47" i="2"/>
  <c r="S51" i="2"/>
  <c r="T52" i="2"/>
  <c r="B59" i="2"/>
  <c r="T64" i="2"/>
  <c r="S65" i="2"/>
  <c r="P70" i="2"/>
  <c r="B71" i="2"/>
  <c r="S73" i="2"/>
  <c r="T76" i="2"/>
  <c r="B83" i="2"/>
  <c r="T84" i="2"/>
  <c r="B95" i="2"/>
  <c r="B107" i="2"/>
  <c r="R115" i="2"/>
  <c r="B119" i="2"/>
  <c r="P122" i="2"/>
  <c r="B131" i="2"/>
  <c r="U138" i="2"/>
  <c r="B143" i="2"/>
  <c r="B155" i="2"/>
  <c r="B167" i="2"/>
  <c r="B179" i="2"/>
  <c r="B191" i="2"/>
  <c r="B203" i="2"/>
  <c r="U210" i="2"/>
  <c r="B215" i="2"/>
  <c r="P218" i="2"/>
  <c r="B227" i="2"/>
  <c r="B239" i="2"/>
  <c r="E18" i="37998"/>
  <c r="L18" i="37998"/>
  <c r="M18" i="37998"/>
  <c r="Z79" i="37988"/>
  <c r="K11" i="37998"/>
  <c r="H25" i="37998"/>
  <c r="H22" i="37998"/>
  <c r="E28" i="37998"/>
  <c r="H15" i="37998"/>
  <c r="H13" i="37998"/>
  <c r="K23" i="37998"/>
  <c r="K17" i="37998"/>
  <c r="H23" i="37998"/>
  <c r="T172" i="2"/>
  <c r="Q124" i="2"/>
  <c r="U15" i="2"/>
  <c r="Q52" i="2"/>
  <c r="AD24" i="2"/>
  <c r="AF24" i="2"/>
  <c r="W24" i="2"/>
  <c r="V24" i="2"/>
  <c r="AD18" i="2"/>
  <c r="V18" i="2"/>
  <c r="AD26" i="2"/>
  <c r="V26" i="2"/>
  <c r="Q70" i="2"/>
  <c r="AD14" i="2"/>
  <c r="AF14" i="2"/>
  <c r="W14" i="2"/>
  <c r="AD37" i="2"/>
  <c r="V37" i="2"/>
  <c r="AD47" i="2"/>
  <c r="V47" i="2"/>
  <c r="AD31" i="2"/>
  <c r="AF31" i="2"/>
  <c r="W31" i="2"/>
  <c r="Q24" i="2"/>
  <c r="AD25" i="2"/>
  <c r="V25" i="2"/>
  <c r="AD35" i="2"/>
  <c r="V35" i="2"/>
  <c r="AD58" i="2"/>
  <c r="V58" i="2"/>
  <c r="AD28" i="2"/>
  <c r="Q35" i="2"/>
  <c r="AD33" i="2"/>
  <c r="AF33" i="2"/>
  <c r="W33" i="2"/>
  <c r="AD20" i="2"/>
  <c r="AD23" i="2"/>
  <c r="V23" i="2"/>
  <c r="AD54" i="2"/>
  <c r="V54" i="2"/>
  <c r="AD27" i="2"/>
  <c r="AD172" i="2"/>
  <c r="AF172" i="2"/>
  <c r="W172" i="2"/>
  <c r="AD75" i="2"/>
  <c r="AD72" i="2"/>
  <c r="V72" i="2"/>
  <c r="AD100" i="2"/>
  <c r="V100" i="2"/>
  <c r="AD76" i="2"/>
  <c r="V76" i="2"/>
  <c r="AD78" i="2"/>
  <c r="V78" i="2"/>
  <c r="AF78" i="2"/>
  <c r="W78" i="2"/>
  <c r="AD92" i="2"/>
  <c r="V92" i="2"/>
  <c r="S172" i="2"/>
  <c r="S72" i="2"/>
  <c r="Q30" i="2"/>
  <c r="AD30" i="2"/>
  <c r="S248" i="2"/>
  <c r="AD133" i="2"/>
  <c r="V133" i="2"/>
  <c r="Q133" i="2"/>
  <c r="Q77" i="2"/>
  <c r="AD77" i="2"/>
  <c r="V77" i="2"/>
  <c r="AD73" i="2"/>
  <c r="AD210" i="2"/>
  <c r="AF210" i="2"/>
  <c r="W210" i="2"/>
  <c r="AD173" i="2"/>
  <c r="AF173" i="2"/>
  <c r="W173" i="2"/>
  <c r="Q173" i="2"/>
  <c r="Q89" i="2"/>
  <c r="Q209" i="2"/>
  <c r="AD209" i="2"/>
  <c r="AF209" i="2"/>
  <c r="W209" i="2"/>
  <c r="Q205" i="2"/>
  <c r="AD160" i="2"/>
  <c r="S55" i="2"/>
  <c r="AD71" i="2"/>
  <c r="Q71" i="2"/>
  <c r="AD67" i="2"/>
  <c r="V67" i="2"/>
  <c r="Q61" i="2"/>
  <c r="AD57" i="2"/>
  <c r="S53" i="2"/>
  <c r="AD15" i="2"/>
  <c r="AD39" i="2"/>
  <c r="T23" i="2"/>
  <c r="AD21" i="2"/>
  <c r="AD200" i="2"/>
  <c r="AF200" i="2"/>
  <c r="W200" i="2"/>
  <c r="AD29" i="2"/>
  <c r="AD66" i="2"/>
  <c r="V66" i="2"/>
  <c r="AD41" i="2"/>
  <c r="V41" i="2"/>
  <c r="AD94" i="2"/>
  <c r="AD68" i="2"/>
  <c r="AD17" i="2"/>
  <c r="AD16" i="2"/>
  <c r="AD38" i="2"/>
  <c r="AD225" i="2"/>
  <c r="AD221" i="2"/>
  <c r="AD217" i="2"/>
  <c r="Q217" i="2"/>
  <c r="Q213" i="2"/>
  <c r="AD201" i="2"/>
  <c r="Q201" i="2"/>
  <c r="Q197" i="2"/>
  <c r="AD193" i="2"/>
  <c r="Q193" i="2"/>
  <c r="AD189" i="2"/>
  <c r="Q189" i="2"/>
  <c r="Q185" i="2"/>
  <c r="AD185" i="2"/>
  <c r="AD153" i="2"/>
  <c r="AD145" i="2"/>
  <c r="Q145" i="2"/>
  <c r="Q129" i="2"/>
  <c r="Q121" i="2"/>
  <c r="AD121" i="2"/>
  <c r="AD113" i="2"/>
  <c r="Q105" i="2"/>
  <c r="AD105" i="2"/>
  <c r="AD101" i="2"/>
  <c r="Q101" i="2"/>
  <c r="S98" i="2"/>
  <c r="AD98" i="2"/>
  <c r="AD97" i="2"/>
  <c r="AF25" i="2"/>
  <c r="W25" i="2"/>
  <c r="Q249" i="2"/>
  <c r="AD233" i="2"/>
  <c r="AD181" i="2"/>
  <c r="Q181" i="2"/>
  <c r="AD177" i="2"/>
  <c r="Q177" i="2"/>
  <c r="AD157" i="2"/>
  <c r="Q157" i="2"/>
  <c r="Q149" i="2"/>
  <c r="AD149" i="2"/>
  <c r="AD141" i="2"/>
  <c r="Q141" i="2"/>
  <c r="AD125" i="2"/>
  <c r="Q125" i="2"/>
  <c r="AD117" i="2"/>
  <c r="Q117" i="2"/>
  <c r="Q109" i="2"/>
  <c r="AD109" i="2"/>
  <c r="V172" i="2"/>
  <c r="AD250" i="2"/>
  <c r="Q250" i="2"/>
  <c r="AD246" i="2"/>
  <c r="Q246" i="2"/>
  <c r="AD242" i="2"/>
  <c r="AD239" i="2"/>
  <c r="AD238" i="2"/>
  <c r="Q238" i="2"/>
  <c r="AD235" i="2"/>
  <c r="AD245" i="2"/>
  <c r="Q245" i="2"/>
  <c r="AD237" i="2"/>
  <c r="Q237" i="2"/>
  <c r="AD169" i="2"/>
  <c r="Q169" i="2"/>
  <c r="AD241" i="2"/>
  <c r="Q241" i="2"/>
  <c r="AD165" i="2"/>
  <c r="Q165" i="2"/>
  <c r="AD195" i="2"/>
  <c r="AF100" i="2"/>
  <c r="W100" i="2"/>
  <c r="AF75" i="2"/>
  <c r="W75" i="2"/>
  <c r="V75" i="2"/>
  <c r="AD137" i="2"/>
  <c r="AD244" i="2"/>
  <c r="Q244" i="2"/>
  <c r="AD240" i="2"/>
  <c r="Q240" i="2"/>
  <c r="AD236" i="2"/>
  <c r="Q236" i="2"/>
  <c r="Q232" i="2"/>
  <c r="AD232" i="2"/>
  <c r="AD228" i="2"/>
  <c r="Q228" i="2"/>
  <c r="Q224" i="2"/>
  <c r="AD224" i="2"/>
  <c r="AD52" i="2"/>
  <c r="R52" i="2"/>
  <c r="AD118" i="2"/>
  <c r="AD207" i="2"/>
  <c r="AD161" i="2"/>
  <c r="V209" i="2"/>
  <c r="AD219" i="2"/>
  <c r="AD182" i="2"/>
  <c r="AD231" i="2"/>
  <c r="S231" i="2"/>
  <c r="AD230" i="2"/>
  <c r="Q230" i="2"/>
  <c r="AD226" i="2"/>
  <c r="AD223" i="2"/>
  <c r="S223" i="2"/>
  <c r="AD222" i="2"/>
  <c r="AD215" i="2"/>
  <c r="Q214" i="2"/>
  <c r="AD214" i="2"/>
  <c r="AD211" i="2"/>
  <c r="S211" i="2"/>
  <c r="AD206" i="2"/>
  <c r="Q206" i="2"/>
  <c r="AD203" i="2"/>
  <c r="AD202" i="2"/>
  <c r="Q202" i="2"/>
  <c r="AD199" i="2"/>
  <c r="S199" i="2"/>
  <c r="AD198" i="2"/>
  <c r="Q198" i="2"/>
  <c r="AD194" i="2"/>
  <c r="S191" i="2"/>
  <c r="AD191" i="2"/>
  <c r="AD190" i="2"/>
  <c r="S187" i="2"/>
  <c r="AD187" i="2"/>
  <c r="Q186" i="2"/>
  <c r="AD186" i="2"/>
  <c r="AD183" i="2"/>
  <c r="AD179" i="2"/>
  <c r="Q178" i="2"/>
  <c r="AD178" i="2"/>
  <c r="AD174" i="2"/>
  <c r="Q174" i="2"/>
  <c r="AD171" i="2"/>
  <c r="S171" i="2"/>
  <c r="AD167" i="2"/>
  <c r="AD166" i="2"/>
  <c r="AD163" i="2"/>
  <c r="S163" i="2"/>
  <c r="AD162" i="2"/>
  <c r="Q162" i="2"/>
  <c r="AD159" i="2"/>
  <c r="AD158" i="2"/>
  <c r="AD155" i="2"/>
  <c r="S155" i="2"/>
  <c r="AD154" i="2"/>
  <c r="Q154" i="2"/>
  <c r="AD151" i="2"/>
  <c r="S151" i="2"/>
  <c r="AD150" i="2"/>
  <c r="S147" i="2"/>
  <c r="AD147" i="2"/>
  <c r="Q146" i="2"/>
  <c r="AD146" i="2"/>
  <c r="AD143" i="2"/>
  <c r="Q142" i="2"/>
  <c r="AD142" i="2"/>
  <c r="S139" i="2"/>
  <c r="AD139" i="2"/>
  <c r="AD138" i="2"/>
  <c r="Q138" i="2"/>
  <c r="AD135" i="2"/>
  <c r="S135" i="2"/>
  <c r="AD134" i="2"/>
  <c r="Q134" i="2"/>
  <c r="AD131" i="2"/>
  <c r="S131" i="2"/>
  <c r="AD130" i="2"/>
  <c r="Q130" i="2"/>
  <c r="S127" i="2"/>
  <c r="AD127" i="2"/>
  <c r="Q126" i="2"/>
  <c r="AD126" i="2"/>
  <c r="AD123" i="2"/>
  <c r="S123" i="2"/>
  <c r="Q122" i="2"/>
  <c r="AD122" i="2"/>
  <c r="S119" i="2"/>
  <c r="AD119" i="2"/>
  <c r="S115" i="2"/>
  <c r="AD115" i="2"/>
  <c r="AD114" i="2"/>
  <c r="Q114" i="2"/>
  <c r="AD111" i="2"/>
  <c r="S215" i="2"/>
  <c r="Q180" i="2"/>
  <c r="AD170" i="2"/>
  <c r="AD175" i="2"/>
  <c r="Q158" i="2"/>
  <c r="AF41" i="2"/>
  <c r="W41" i="2"/>
  <c r="AD227" i="2"/>
  <c r="AD220" i="2"/>
  <c r="Q220" i="2"/>
  <c r="AD212" i="2"/>
  <c r="Q212" i="2"/>
  <c r="AD208" i="2"/>
  <c r="Q208" i="2"/>
  <c r="Q204" i="2"/>
  <c r="AD204" i="2"/>
  <c r="AD196" i="2"/>
  <c r="Q196" i="2"/>
  <c r="AD192" i="2"/>
  <c r="Q192" i="2"/>
  <c r="AD188" i="2"/>
  <c r="AD184" i="2"/>
  <c r="Q184" i="2"/>
  <c r="AD176" i="2"/>
  <c r="Q176" i="2"/>
  <c r="AD168" i="2"/>
  <c r="Q168" i="2"/>
  <c r="Q164" i="2"/>
  <c r="AD164" i="2"/>
  <c r="Q156" i="2"/>
  <c r="AD156" i="2"/>
  <c r="AD152" i="2"/>
  <c r="Q152" i="2"/>
  <c r="AD148" i="2"/>
  <c r="AD128" i="2"/>
  <c r="Q128" i="2"/>
  <c r="AD43" i="2"/>
  <c r="R43" i="2"/>
  <c r="R40" i="2"/>
  <c r="AD40" i="2"/>
  <c r="Q36" i="2"/>
  <c r="AD36" i="2"/>
  <c r="AD110" i="2"/>
  <c r="S107" i="2"/>
  <c r="AD107" i="2"/>
  <c r="AD106" i="2"/>
  <c r="Q106" i="2"/>
  <c r="S103" i="2"/>
  <c r="AD103" i="2"/>
  <c r="AF103" i="2"/>
  <c r="W103" i="2"/>
  <c r="Q102" i="2"/>
  <c r="AD102" i="2"/>
  <c r="AD99" i="2"/>
  <c r="S95" i="2"/>
  <c r="AD95" i="2"/>
  <c r="AD91" i="2"/>
  <c r="S91" i="2"/>
  <c r="AD87" i="2"/>
  <c r="V87" i="2"/>
  <c r="S87" i="2"/>
  <c r="Q86" i="2"/>
  <c r="AD86" i="2"/>
  <c r="S83" i="2"/>
  <c r="AD83" i="2"/>
  <c r="AD82" i="2"/>
  <c r="Q82" i="2"/>
  <c r="S79" i="2"/>
  <c r="AD79" i="2"/>
  <c r="Q110" i="2"/>
  <c r="S99" i="2"/>
  <c r="AD144" i="2"/>
  <c r="Q144" i="2"/>
  <c r="AD140" i="2"/>
  <c r="Q140" i="2"/>
  <c r="AD136" i="2"/>
  <c r="Q136" i="2"/>
  <c r="Q132" i="2"/>
  <c r="AD132" i="2"/>
  <c r="AD124" i="2"/>
  <c r="AD120" i="2"/>
  <c r="AD116" i="2"/>
  <c r="Q116" i="2"/>
  <c r="Q112" i="2"/>
  <c r="AD112" i="2"/>
  <c r="AD108" i="2"/>
  <c r="Q108" i="2"/>
  <c r="AD104" i="2"/>
  <c r="AD96" i="2"/>
  <c r="Q88" i="2"/>
  <c r="AD88" i="2"/>
  <c r="AD80" i="2"/>
  <c r="Q64" i="2"/>
  <c r="AD64" i="2"/>
  <c r="AD60" i="2"/>
  <c r="Q60" i="2"/>
  <c r="AD56" i="2"/>
  <c r="Q56" i="2"/>
  <c r="S45" i="2"/>
  <c r="AD45" i="2"/>
  <c r="AD44" i="2"/>
  <c r="AD51" i="2"/>
  <c r="Q51" i="2"/>
  <c r="AD50" i="2"/>
  <c r="R49" i="2"/>
  <c r="R48" i="2"/>
  <c r="AD48" i="2"/>
  <c r="AD81" i="2"/>
  <c r="Q81" i="2"/>
  <c r="Q65" i="2"/>
  <c r="AD65" i="2"/>
  <c r="Q80" i="2"/>
  <c r="Q57" i="2"/>
  <c r="AD84" i="2"/>
  <c r="Q96" i="2"/>
  <c r="AD93" i="2"/>
  <c r="Q85" i="2"/>
  <c r="AD63" i="2"/>
  <c r="Q34" i="2"/>
  <c r="AD34" i="2"/>
  <c r="AD42" i="2"/>
  <c r="Q42" i="2"/>
  <c r="AD46" i="2"/>
  <c r="AD74" i="2"/>
  <c r="AD247" i="2"/>
  <c r="AD22" i="2"/>
  <c r="AD243" i="2"/>
  <c r="AD13" i="2"/>
  <c r="Q13" i="2"/>
  <c r="AD32" i="2"/>
  <c r="S12" i="2"/>
  <c r="AD12" i="2"/>
  <c r="AD62" i="2"/>
  <c r="AD59" i="2"/>
  <c r="T19" i="2"/>
  <c r="AD19" i="2"/>
  <c r="V210" i="2"/>
  <c r="AF92" i="2"/>
  <c r="W92" i="2"/>
  <c r="V31" i="2"/>
  <c r="AF26" i="2"/>
  <c r="W26" i="2"/>
  <c r="AF47" i="2"/>
  <c r="W47" i="2"/>
  <c r="AF58" i="2"/>
  <c r="W58" i="2"/>
  <c r="AF37" i="2"/>
  <c r="W37" i="2"/>
  <c r="V14" i="2"/>
  <c r="AF35" i="2"/>
  <c r="W35" i="2"/>
  <c r="V173" i="2"/>
  <c r="AF67" i="2"/>
  <c r="W67" i="2"/>
  <c r="V20" i="2"/>
  <c r="AF20" i="2"/>
  <c r="W20" i="2"/>
  <c r="V33" i="2"/>
  <c r="AF66" i="2"/>
  <c r="W66" i="2"/>
  <c r="AF23" i="2"/>
  <c r="W23" i="2"/>
  <c r="AF72" i="2"/>
  <c r="W72" i="2"/>
  <c r="V27" i="2"/>
  <c r="AF27" i="2"/>
  <c r="W27" i="2"/>
  <c r="AF28" i="2"/>
  <c r="W28" i="2"/>
  <c r="V28" i="2"/>
  <c r="AF133" i="2"/>
  <c r="W133" i="2"/>
  <c r="AF57" i="2"/>
  <c r="W57" i="2"/>
  <c r="V57" i="2"/>
  <c r="AF160" i="2"/>
  <c r="W160" i="2"/>
  <c r="V160" i="2"/>
  <c r="V21" i="2"/>
  <c r="AF21" i="2"/>
  <c r="W21" i="2"/>
  <c r="AF30" i="2"/>
  <c r="W30" i="2"/>
  <c r="V30" i="2"/>
  <c r="AF94" i="2"/>
  <c r="W94" i="2"/>
  <c r="V94" i="2"/>
  <c r="V73" i="2"/>
  <c r="AF73" i="2"/>
  <c r="W73" i="2"/>
  <c r="AF38" i="2"/>
  <c r="W38" i="2"/>
  <c r="V38" i="2"/>
  <c r="AF39" i="2"/>
  <c r="W39" i="2"/>
  <c r="V39" i="2"/>
  <c r="V68" i="2"/>
  <c r="AF68" i="2"/>
  <c r="W68" i="2"/>
  <c r="V29" i="2"/>
  <c r="AF29" i="2"/>
  <c r="W29" i="2"/>
  <c r="V16" i="2"/>
  <c r="AF16" i="2"/>
  <c r="W16" i="2"/>
  <c r="AF15" i="2"/>
  <c r="W15" i="2"/>
  <c r="V15" i="2"/>
  <c r="V17" i="2"/>
  <c r="AF17" i="2"/>
  <c r="W17" i="2"/>
  <c r="V71" i="2"/>
  <c r="AF71" i="2"/>
  <c r="W71" i="2"/>
  <c r="AF76" i="2"/>
  <c r="W76" i="2"/>
  <c r="AF87" i="2"/>
  <c r="W87" i="2"/>
  <c r="V103" i="2"/>
  <c r="V128" i="2"/>
  <c r="AF128" i="2"/>
  <c r="W128" i="2"/>
  <c r="V192" i="2"/>
  <c r="AF192" i="2"/>
  <c r="W192" i="2"/>
  <c r="AF212" i="2"/>
  <c r="W212" i="2"/>
  <c r="V212" i="2"/>
  <c r="AF232" i="2"/>
  <c r="W232" i="2"/>
  <c r="V232" i="2"/>
  <c r="AF233" i="2"/>
  <c r="W233" i="2"/>
  <c r="V233" i="2"/>
  <c r="AF145" i="2"/>
  <c r="W145" i="2"/>
  <c r="V145" i="2"/>
  <c r="AF193" i="2"/>
  <c r="W193" i="2"/>
  <c r="V193" i="2"/>
  <c r="AF217" i="2"/>
  <c r="W217" i="2"/>
  <c r="V217" i="2"/>
  <c r="V52" i="2"/>
  <c r="AF52" i="2"/>
  <c r="W52" i="2"/>
  <c r="AF137" i="2"/>
  <c r="W137" i="2"/>
  <c r="V137" i="2"/>
  <c r="V239" i="2"/>
  <c r="AF239" i="2"/>
  <c r="W239" i="2"/>
  <c r="V125" i="2"/>
  <c r="AF125" i="2"/>
  <c r="W125" i="2"/>
  <c r="V157" i="2"/>
  <c r="AF157" i="2"/>
  <c r="W157" i="2"/>
  <c r="V158" i="2"/>
  <c r="AF158" i="2"/>
  <c r="W158" i="2"/>
  <c r="V186" i="2"/>
  <c r="AF186" i="2"/>
  <c r="W186" i="2"/>
  <c r="AF223" i="2"/>
  <c r="W223" i="2"/>
  <c r="V223" i="2"/>
  <c r="AF42" i="2"/>
  <c r="W42" i="2"/>
  <c r="V42" i="2"/>
  <c r="V84" i="2"/>
  <c r="AF84" i="2"/>
  <c r="W84" i="2"/>
  <c r="V116" i="2"/>
  <c r="AF116" i="2"/>
  <c r="W116" i="2"/>
  <c r="V140" i="2"/>
  <c r="AF140" i="2"/>
  <c r="W140" i="2"/>
  <c r="V119" i="2"/>
  <c r="AF119" i="2"/>
  <c r="W119" i="2"/>
  <c r="V241" i="2"/>
  <c r="AF241" i="2"/>
  <c r="W241" i="2"/>
  <c r="AF169" i="2"/>
  <c r="W169" i="2"/>
  <c r="V169" i="2"/>
  <c r="V238" i="2"/>
  <c r="AF238" i="2"/>
  <c r="W238" i="2"/>
  <c r="AF19" i="2"/>
  <c r="W19" i="2"/>
  <c r="V19" i="2"/>
  <c r="V13" i="2"/>
  <c r="AF13" i="2"/>
  <c r="W13" i="2"/>
  <c r="V34" i="2"/>
  <c r="AF34" i="2"/>
  <c r="W34" i="2"/>
  <c r="V56" i="2"/>
  <c r="AF56" i="2"/>
  <c r="W56" i="2"/>
  <c r="AF96" i="2"/>
  <c r="W96" i="2"/>
  <c r="V96" i="2"/>
  <c r="V120" i="2"/>
  <c r="AF120" i="2"/>
  <c r="W120" i="2"/>
  <c r="V40" i="2"/>
  <c r="AF40" i="2"/>
  <c r="W40" i="2"/>
  <c r="V148" i="2"/>
  <c r="AF148" i="2"/>
  <c r="W148" i="2"/>
  <c r="V168" i="2"/>
  <c r="AF168" i="2"/>
  <c r="W168" i="2"/>
  <c r="V135" i="2"/>
  <c r="AF135" i="2"/>
  <c r="W135" i="2"/>
  <c r="AF146" i="2"/>
  <c r="W146" i="2"/>
  <c r="V146" i="2"/>
  <c r="V154" i="2"/>
  <c r="AF154" i="2"/>
  <c r="W154" i="2"/>
  <c r="V163" i="2"/>
  <c r="AF163" i="2"/>
  <c r="W163" i="2"/>
  <c r="V191" i="2"/>
  <c r="AF191" i="2"/>
  <c r="W191" i="2"/>
  <c r="V202" i="2"/>
  <c r="AF202" i="2"/>
  <c r="W202" i="2"/>
  <c r="V215" i="2"/>
  <c r="AF215" i="2"/>
  <c r="W215" i="2"/>
  <c r="V231" i="2"/>
  <c r="AF231" i="2"/>
  <c r="W231" i="2"/>
  <c r="AF243" i="2"/>
  <c r="W243" i="2"/>
  <c r="V243" i="2"/>
  <c r="V50" i="2"/>
  <c r="AF50" i="2"/>
  <c r="W50" i="2"/>
  <c r="AF104" i="2"/>
  <c r="W104" i="2"/>
  <c r="V104" i="2"/>
  <c r="V124" i="2"/>
  <c r="AF124" i="2"/>
  <c r="W124" i="2"/>
  <c r="V144" i="2"/>
  <c r="AF144" i="2"/>
  <c r="W144" i="2"/>
  <c r="AF82" i="2"/>
  <c r="W82" i="2"/>
  <c r="V82" i="2"/>
  <c r="V91" i="2"/>
  <c r="AF91" i="2"/>
  <c r="W91" i="2"/>
  <c r="V196" i="2"/>
  <c r="AF196" i="2"/>
  <c r="W196" i="2"/>
  <c r="V122" i="2"/>
  <c r="AF122" i="2"/>
  <c r="W122" i="2"/>
  <c r="V166" i="2"/>
  <c r="AF166" i="2"/>
  <c r="W166" i="2"/>
  <c r="V179" i="2"/>
  <c r="AF179" i="2"/>
  <c r="W179" i="2"/>
  <c r="V203" i="2"/>
  <c r="AF203" i="2"/>
  <c r="W203" i="2"/>
  <c r="V222" i="2"/>
  <c r="AF222" i="2"/>
  <c r="W222" i="2"/>
  <c r="V182" i="2"/>
  <c r="AF182" i="2"/>
  <c r="W182" i="2"/>
  <c r="AF237" i="2"/>
  <c r="W237" i="2"/>
  <c r="V237" i="2"/>
  <c r="AF242" i="2"/>
  <c r="W242" i="2"/>
  <c r="V242" i="2"/>
  <c r="AF97" i="2"/>
  <c r="W97" i="2"/>
  <c r="V97" i="2"/>
  <c r="AF113" i="2"/>
  <c r="W113" i="2"/>
  <c r="V113" i="2"/>
  <c r="AF153" i="2"/>
  <c r="W153" i="2"/>
  <c r="V153" i="2"/>
  <c r="AF221" i="2"/>
  <c r="W221" i="2"/>
  <c r="V221" i="2"/>
  <c r="V139" i="2"/>
  <c r="AF139" i="2"/>
  <c r="W139" i="2"/>
  <c r="V206" i="2"/>
  <c r="AF206" i="2"/>
  <c r="W206" i="2"/>
  <c r="V127" i="2"/>
  <c r="AF127" i="2"/>
  <c r="W127" i="2"/>
  <c r="AF143" i="2"/>
  <c r="W143" i="2"/>
  <c r="V143" i="2"/>
  <c r="V178" i="2"/>
  <c r="AF178" i="2"/>
  <c r="W178" i="2"/>
  <c r="V190" i="2"/>
  <c r="AF190" i="2"/>
  <c r="W190" i="2"/>
  <c r="AF59" i="2"/>
  <c r="W59" i="2"/>
  <c r="V59" i="2"/>
  <c r="V22" i="2"/>
  <c r="AF22" i="2"/>
  <c r="W22" i="2"/>
  <c r="AF65" i="2"/>
  <c r="W65" i="2"/>
  <c r="V65" i="2"/>
  <c r="V60" i="2"/>
  <c r="AF60" i="2"/>
  <c r="W60" i="2"/>
  <c r="V132" i="2"/>
  <c r="AF132" i="2"/>
  <c r="W132" i="2"/>
  <c r="V83" i="2"/>
  <c r="AF83" i="2"/>
  <c r="W83" i="2"/>
  <c r="AF95" i="2"/>
  <c r="W95" i="2"/>
  <c r="V95" i="2"/>
  <c r="AF106" i="2"/>
  <c r="W106" i="2"/>
  <c r="V106" i="2"/>
  <c r="V152" i="2"/>
  <c r="AF152" i="2"/>
  <c r="W152" i="2"/>
  <c r="V176" i="2"/>
  <c r="AF176" i="2"/>
  <c r="W176" i="2"/>
  <c r="AF204" i="2"/>
  <c r="W204" i="2"/>
  <c r="V204" i="2"/>
  <c r="V175" i="2"/>
  <c r="AF175" i="2"/>
  <c r="W175" i="2"/>
  <c r="AF111" i="2"/>
  <c r="W111" i="2"/>
  <c r="V111" i="2"/>
  <c r="V130" i="2"/>
  <c r="AF130" i="2"/>
  <c r="W130" i="2"/>
  <c r="V138" i="2"/>
  <c r="AF138" i="2"/>
  <c r="W138" i="2"/>
  <c r="V147" i="2"/>
  <c r="AF147" i="2"/>
  <c r="W147" i="2"/>
  <c r="V155" i="2"/>
  <c r="AF155" i="2"/>
  <c r="W155" i="2"/>
  <c r="AF167" i="2"/>
  <c r="W167" i="2"/>
  <c r="V167" i="2"/>
  <c r="AF183" i="2"/>
  <c r="W183" i="2"/>
  <c r="V183" i="2"/>
  <c r="V194" i="2"/>
  <c r="AF194" i="2"/>
  <c r="W194" i="2"/>
  <c r="V219" i="2"/>
  <c r="AF219" i="2"/>
  <c r="W219" i="2"/>
  <c r="V236" i="2"/>
  <c r="AF236" i="2"/>
  <c r="W236" i="2"/>
  <c r="AF177" i="2"/>
  <c r="W177" i="2"/>
  <c r="V177" i="2"/>
  <c r="V98" i="2"/>
  <c r="AF98" i="2"/>
  <c r="W98" i="2"/>
  <c r="AF121" i="2"/>
  <c r="W121" i="2"/>
  <c r="V121" i="2"/>
  <c r="V185" i="2"/>
  <c r="AF185" i="2"/>
  <c r="W185" i="2"/>
  <c r="V165" i="2"/>
  <c r="AF165" i="2"/>
  <c r="W165" i="2"/>
  <c r="AF12" i="2"/>
  <c r="W12" i="2"/>
  <c r="V12" i="2"/>
  <c r="AF44" i="2"/>
  <c r="W44" i="2"/>
  <c r="V44" i="2"/>
  <c r="V184" i="2"/>
  <c r="AF184" i="2"/>
  <c r="W184" i="2"/>
  <c r="V141" i="2"/>
  <c r="AF141" i="2"/>
  <c r="W141" i="2"/>
  <c r="V181" i="2"/>
  <c r="AF181" i="2"/>
  <c r="W181" i="2"/>
  <c r="V109" i="2"/>
  <c r="AF109" i="2"/>
  <c r="W109" i="2"/>
  <c r="V74" i="2"/>
  <c r="AF74" i="2"/>
  <c r="W74" i="2"/>
  <c r="V112" i="2"/>
  <c r="AF112" i="2"/>
  <c r="W112" i="2"/>
  <c r="AF123" i="2"/>
  <c r="W123" i="2"/>
  <c r="V123" i="2"/>
  <c r="AF131" i="2"/>
  <c r="W131" i="2"/>
  <c r="V131" i="2"/>
  <c r="V159" i="2"/>
  <c r="AF159" i="2"/>
  <c r="W159" i="2"/>
  <c r="V171" i="2"/>
  <c r="AF171" i="2"/>
  <c r="W171" i="2"/>
  <c r="V198" i="2"/>
  <c r="AF198" i="2"/>
  <c r="W198" i="2"/>
  <c r="V226" i="2"/>
  <c r="AF226" i="2"/>
  <c r="W226" i="2"/>
  <c r="V161" i="2"/>
  <c r="AF161" i="2"/>
  <c r="W161" i="2"/>
  <c r="V235" i="2"/>
  <c r="AF235" i="2"/>
  <c r="W235" i="2"/>
  <c r="V250" i="2"/>
  <c r="AF250" i="2"/>
  <c r="W250" i="2"/>
  <c r="V149" i="2"/>
  <c r="AF149" i="2"/>
  <c r="W149" i="2"/>
  <c r="V101" i="2"/>
  <c r="AF101" i="2"/>
  <c r="W101" i="2"/>
  <c r="V189" i="2"/>
  <c r="AF189" i="2"/>
  <c r="W189" i="2"/>
  <c r="AF62" i="2"/>
  <c r="W62" i="2"/>
  <c r="V62" i="2"/>
  <c r="V247" i="2"/>
  <c r="AF247" i="2"/>
  <c r="W247" i="2"/>
  <c r="V63" i="2"/>
  <c r="AF63" i="2"/>
  <c r="W63" i="2"/>
  <c r="AF51" i="2"/>
  <c r="W51" i="2"/>
  <c r="V51" i="2"/>
  <c r="V64" i="2"/>
  <c r="AF64" i="2"/>
  <c r="W64" i="2"/>
  <c r="V108" i="2"/>
  <c r="AF108" i="2"/>
  <c r="W108" i="2"/>
  <c r="AF107" i="2"/>
  <c r="W107" i="2"/>
  <c r="V107" i="2"/>
  <c r="AF43" i="2"/>
  <c r="W43" i="2"/>
  <c r="V43" i="2"/>
  <c r="AF156" i="2"/>
  <c r="W156" i="2"/>
  <c r="V156" i="2"/>
  <c r="V220" i="2"/>
  <c r="AF220" i="2"/>
  <c r="W220" i="2"/>
  <c r="V170" i="2"/>
  <c r="AF170" i="2"/>
  <c r="W170" i="2"/>
  <c r="AF224" i="2"/>
  <c r="W224" i="2"/>
  <c r="V224" i="2"/>
  <c r="V245" i="2"/>
  <c r="AF245" i="2"/>
  <c r="W245" i="2"/>
  <c r="V246" i="2"/>
  <c r="AF246" i="2"/>
  <c r="W246" i="2"/>
  <c r="V201" i="2"/>
  <c r="AF201" i="2"/>
  <c r="W201" i="2"/>
  <c r="V225" i="2"/>
  <c r="AF225" i="2"/>
  <c r="W225" i="2"/>
  <c r="AF86" i="2"/>
  <c r="W86" i="2"/>
  <c r="V86" i="2"/>
  <c r="AF99" i="2"/>
  <c r="W99" i="2"/>
  <c r="V99" i="2"/>
  <c r="V114" i="2"/>
  <c r="AF114" i="2"/>
  <c r="W114" i="2"/>
  <c r="AF150" i="2"/>
  <c r="W150" i="2"/>
  <c r="V150" i="2"/>
  <c r="V240" i="2"/>
  <c r="AF240" i="2"/>
  <c r="W240" i="2"/>
  <c r="V46" i="2"/>
  <c r="AF46" i="2"/>
  <c r="W46" i="2"/>
  <c r="AF93" i="2"/>
  <c r="W93" i="2"/>
  <c r="V93" i="2"/>
  <c r="V81" i="2"/>
  <c r="AF81" i="2"/>
  <c r="W81" i="2"/>
  <c r="V45" i="2"/>
  <c r="AF45" i="2"/>
  <c r="W45" i="2"/>
  <c r="AF80" i="2"/>
  <c r="W80" i="2"/>
  <c r="V80" i="2"/>
  <c r="V136" i="2"/>
  <c r="AF136" i="2"/>
  <c r="W136" i="2"/>
  <c r="V102" i="2"/>
  <c r="AF102" i="2"/>
  <c r="W102" i="2"/>
  <c r="V110" i="2"/>
  <c r="AF110" i="2"/>
  <c r="W110" i="2"/>
  <c r="AF164" i="2"/>
  <c r="W164" i="2"/>
  <c r="V164" i="2"/>
  <c r="AF188" i="2"/>
  <c r="W188" i="2"/>
  <c r="V188" i="2"/>
  <c r="V208" i="2"/>
  <c r="AF208" i="2"/>
  <c r="W208" i="2"/>
  <c r="V115" i="2"/>
  <c r="AF115" i="2"/>
  <c r="W115" i="2"/>
  <c r="V126" i="2"/>
  <c r="AF126" i="2"/>
  <c r="W126" i="2"/>
  <c r="AF142" i="2"/>
  <c r="W142" i="2"/>
  <c r="V142" i="2"/>
  <c r="V187" i="2"/>
  <c r="AF187" i="2"/>
  <c r="W187" i="2"/>
  <c r="V211" i="2"/>
  <c r="AF211" i="2"/>
  <c r="W211" i="2"/>
  <c r="V207" i="2"/>
  <c r="AF207" i="2"/>
  <c r="W207" i="2"/>
  <c r="AF32" i="2"/>
  <c r="W32" i="2"/>
  <c r="V32" i="2"/>
  <c r="V48" i="2"/>
  <c r="AF48" i="2"/>
  <c r="W48" i="2"/>
  <c r="AF88" i="2"/>
  <c r="W88" i="2"/>
  <c r="V88" i="2"/>
  <c r="V79" i="2"/>
  <c r="AF79" i="2"/>
  <c r="W79" i="2"/>
  <c r="AF36" i="2"/>
  <c r="W36" i="2"/>
  <c r="V36" i="2"/>
  <c r="V227" i="2"/>
  <c r="AF227" i="2"/>
  <c r="W227" i="2"/>
  <c r="V134" i="2"/>
  <c r="AF134" i="2"/>
  <c r="W134" i="2"/>
  <c r="V151" i="2"/>
  <c r="AF151" i="2"/>
  <c r="W151" i="2"/>
  <c r="V162" i="2"/>
  <c r="AF162" i="2"/>
  <c r="W162" i="2"/>
  <c r="V174" i="2"/>
  <c r="AF174" i="2"/>
  <c r="W174" i="2"/>
  <c r="V199" i="2"/>
  <c r="AF199" i="2"/>
  <c r="W199" i="2"/>
  <c r="V214" i="2"/>
  <c r="AF214" i="2"/>
  <c r="W214" i="2"/>
  <c r="V230" i="2"/>
  <c r="AF230" i="2"/>
  <c r="W230" i="2"/>
  <c r="AF118" i="2"/>
  <c r="W118" i="2"/>
  <c r="V118" i="2"/>
  <c r="V228" i="2"/>
  <c r="AF228" i="2"/>
  <c r="W228" i="2"/>
  <c r="V244" i="2"/>
  <c r="AF244" i="2"/>
  <c r="W244" i="2"/>
  <c r="V195" i="2"/>
  <c r="AF195" i="2"/>
  <c r="W195" i="2"/>
  <c r="V117" i="2"/>
  <c r="AF117" i="2"/>
  <c r="W117" i="2"/>
  <c r="V105" i="2"/>
  <c r="AF105" i="2"/>
  <c r="W105" i="2"/>
  <c r="V21" i="37988"/>
  <c r="BL17" i="37988"/>
  <c r="AZ13" i="37988"/>
  <c r="BI15" i="37988"/>
  <c r="AE18" i="37988"/>
  <c r="BI21" i="37988"/>
  <c r="BF14" i="37988"/>
  <c r="S16" i="37988"/>
  <c r="BI16" i="37988"/>
  <c r="M18" i="37988"/>
  <c r="AN16" i="37988"/>
  <c r="AZ16" i="37988"/>
  <c r="AE21" i="37988"/>
  <c r="G15" i="37988"/>
  <c r="J14" i="37988"/>
  <c r="BL15" i="37988"/>
  <c r="BF16" i="37988"/>
  <c r="AT21" i="37988"/>
  <c r="AE13" i="37988"/>
  <c r="M17" i="37988"/>
  <c r="AQ17" i="37988"/>
  <c r="G14" i="37988"/>
  <c r="AE14" i="37988"/>
  <c r="BF19" i="37988"/>
  <c r="D17" i="37988"/>
  <c r="AH13" i="37988"/>
  <c r="M14" i="37988"/>
  <c r="P21" i="37988"/>
  <c r="AZ14" i="37988"/>
  <c r="BC18" i="37988"/>
  <c r="J13" i="37988"/>
  <c r="V17" i="37988"/>
  <c r="BL22" i="37988"/>
  <c r="AB19" i="37988"/>
  <c r="BC16" i="37988"/>
  <c r="S15" i="37988"/>
  <c r="G19" i="37988"/>
  <c r="AT13" i="37988"/>
  <c r="V15" i="37988"/>
  <c r="D16" i="37988"/>
  <c r="AT19" i="37988"/>
  <c r="Y20" i="37988"/>
  <c r="Y14" i="37988"/>
  <c r="S13" i="37988"/>
  <c r="AB17" i="37988"/>
  <c r="M21" i="37988"/>
  <c r="P14" i="37988"/>
  <c r="AH59" i="37988"/>
  <c r="AQ57" i="37988"/>
  <c r="G59" i="37988"/>
  <c r="M60" i="37988"/>
  <c r="J66" i="37988"/>
  <c r="BL58" i="37988"/>
  <c r="AT65" i="37988"/>
  <c r="V57" i="37988"/>
  <c r="BF65" i="37988"/>
  <c r="AE58" i="37988"/>
  <c r="AZ63" i="37988"/>
  <c r="D62" i="37988"/>
  <c r="AH60" i="37988"/>
  <c r="P65" i="37988"/>
  <c r="AZ60" i="37988"/>
  <c r="BF59" i="37988"/>
  <c r="Y62" i="37988"/>
  <c r="AT59" i="37988"/>
  <c r="V60" i="37988"/>
  <c r="AN59" i="37988"/>
  <c r="AT66" i="37988"/>
  <c r="AB65" i="37988"/>
  <c r="AE59" i="37988"/>
  <c r="G61" i="37988"/>
  <c r="V64" i="37988"/>
  <c r="AZ59" i="37988"/>
  <c r="P58" i="37988"/>
  <c r="AN65" i="37988"/>
  <c r="AE65" i="37988"/>
  <c r="BL66" i="37988"/>
  <c r="BL59" i="37988"/>
  <c r="BF63" i="37988"/>
  <c r="AE61" i="37988"/>
  <c r="BC62" i="37988"/>
  <c r="J62" i="37988"/>
  <c r="BF64" i="37988"/>
  <c r="AH61" i="37988"/>
  <c r="AB66" i="37988"/>
  <c r="BC65" i="37988"/>
  <c r="J65" i="37988"/>
  <c r="AH58" i="37988"/>
  <c r="Y57" i="37988"/>
  <c r="AE57" i="37988"/>
  <c r="D63" i="37988"/>
  <c r="AB60" i="37988"/>
  <c r="BL65" i="37988"/>
  <c r="AH62" i="37988"/>
  <c r="AW57" i="37988"/>
  <c r="AT63" i="37988"/>
  <c r="BI62" i="37988"/>
  <c r="P63" i="37988"/>
  <c r="AH66" i="37988"/>
  <c r="AB59" i="37988"/>
  <c r="BC66" i="37988"/>
  <c r="AB61" i="37988"/>
  <c r="BI64" i="37988"/>
  <c r="J61" i="37988"/>
  <c r="Y63" i="37988"/>
  <c r="AQ65" i="37988"/>
  <c r="AQ58" i="37988"/>
  <c r="AN62" i="37988"/>
  <c r="S59" i="37988"/>
  <c r="BI61" i="37988"/>
  <c r="G65" i="37988"/>
  <c r="P66" i="37988"/>
  <c r="AB63" i="37988"/>
  <c r="AT62" i="37988"/>
  <c r="M61" i="37988"/>
  <c r="S58" i="37988"/>
  <c r="AZ57" i="37988"/>
  <c r="M62" i="37988"/>
  <c r="AQ61" i="37988"/>
  <c r="G58" i="37988"/>
  <c r="S61" i="37988"/>
  <c r="BF61" i="37988"/>
  <c r="V63" i="37988"/>
  <c r="M57" i="37988"/>
  <c r="G57" i="37988"/>
  <c r="S64" i="37988"/>
  <c r="P60" i="37988"/>
  <c r="AZ65" i="37988"/>
  <c r="P59" i="37988"/>
  <c r="AN57" i="37988"/>
  <c r="BL62" i="37988"/>
  <c r="AW66" i="37988"/>
  <c r="AQ66" i="37988"/>
  <c r="BL64" i="37988"/>
  <c r="S60" i="37988"/>
  <c r="M64" i="37988"/>
  <c r="M65" i="37988"/>
  <c r="G60" i="37988"/>
  <c r="BF62" i="37988"/>
  <c r="G66" i="37988"/>
  <c r="P64" i="37988"/>
  <c r="AT61" i="37988"/>
  <c r="AW61" i="37988"/>
  <c r="AQ60" i="37988"/>
  <c r="AT64" i="37988"/>
  <c r="D65" i="37988"/>
  <c r="V61" i="37988"/>
  <c r="AN60" i="37988"/>
  <c r="S63" i="37988"/>
  <c r="AW63" i="37988"/>
  <c r="G64" i="37988"/>
  <c r="Y66" i="37988"/>
  <c r="AZ58" i="37988"/>
  <c r="AQ63" i="37988"/>
  <c r="AN63" i="37988"/>
  <c r="BC63" i="37988"/>
  <c r="D57" i="37988"/>
  <c r="AE60" i="37988"/>
  <c r="AE66" i="37988"/>
  <c r="BL57" i="37988"/>
  <c r="Y64" i="37988"/>
  <c r="AW60" i="37988"/>
  <c r="AN58" i="37988"/>
  <c r="J59" i="37988"/>
  <c r="Y65" i="37988"/>
  <c r="J60" i="37988"/>
  <c r="BC61" i="37988"/>
  <c r="G63" i="37988"/>
  <c r="M66" i="37988"/>
  <c r="BC64" i="37988"/>
  <c r="BC60" i="37988"/>
  <c r="D58" i="37988"/>
  <c r="R11" i="2"/>
  <c r="AD11" i="2"/>
  <c r="V11" i="2"/>
  <c r="AN64" i="37988"/>
  <c r="AB57" i="37988"/>
  <c r="BI65" i="37988"/>
  <c r="BC58" i="37988"/>
  <c r="AZ62" i="37988"/>
  <c r="AT57" i="37988"/>
  <c r="S57" i="37988"/>
  <c r="BF66" i="37988"/>
  <c r="BI57" i="37988"/>
  <c r="BL63" i="37988"/>
  <c r="AE63" i="37988"/>
  <c r="AZ61" i="37988"/>
  <c r="AE62" i="37988"/>
  <c r="Y61" i="37988"/>
  <c r="AH65" i="37988"/>
  <c r="AZ66" i="37988"/>
  <c r="AQ59" i="37988"/>
  <c r="S65" i="37988"/>
  <c r="D66" i="37988"/>
  <c r="AW65" i="37988"/>
  <c r="BF60" i="37988"/>
  <c r="AQ62" i="37988"/>
  <c r="J64" i="37988"/>
  <c r="AB58" i="37988"/>
  <c r="Y59" i="37988"/>
  <c r="D59" i="37988"/>
  <c r="M59" i="37988"/>
  <c r="BI63" i="37988"/>
  <c r="J63" i="37988"/>
  <c r="BI59" i="37988"/>
  <c r="M58" i="37988"/>
  <c r="AH63" i="37988"/>
  <c r="AE64" i="37988"/>
  <c r="BI60" i="37988"/>
  <c r="BI66" i="37988"/>
  <c r="Y58" i="37988"/>
  <c r="AW64" i="37988"/>
  <c r="V59" i="37988"/>
  <c r="BI58" i="37988"/>
  <c r="P62" i="37988"/>
  <c r="D60" i="37988"/>
  <c r="AN61" i="37988"/>
  <c r="J57" i="37988"/>
  <c r="BC57" i="37988"/>
  <c r="Y60" i="37988"/>
  <c r="BL60" i="37988"/>
  <c r="BM57" i="37988"/>
  <c r="BM56" i="37988"/>
  <c r="BN56" i="37988"/>
  <c r="BF57" i="37988"/>
  <c r="M63" i="37988"/>
  <c r="V58" i="37988"/>
  <c r="AQ64" i="37988"/>
  <c r="BF58" i="37988"/>
  <c r="AB64" i="37988"/>
  <c r="AW62" i="37988"/>
  <c r="V65" i="37988"/>
  <c r="AH64" i="37988"/>
  <c r="AT58" i="37988"/>
  <c r="AZ64" i="37988"/>
  <c r="AH57" i="37988"/>
  <c r="AN66" i="37988"/>
  <c r="P61" i="37988"/>
  <c r="BL61" i="37988"/>
  <c r="AW59" i="37988"/>
  <c r="J58" i="37988"/>
  <c r="P57" i="37988"/>
  <c r="AW58" i="37988"/>
  <c r="S66" i="37988"/>
  <c r="G62" i="37988"/>
  <c r="BC59" i="37988"/>
  <c r="D61" i="37988"/>
  <c r="V62" i="37988"/>
  <c r="S62" i="37988"/>
  <c r="V66" i="37988"/>
  <c r="D64" i="37988"/>
  <c r="AT60" i="37988"/>
  <c r="AB62" i="37988"/>
  <c r="AZ19" i="37988"/>
  <c r="J20" i="37988"/>
  <c r="AB21" i="37988"/>
  <c r="AB13" i="37988"/>
  <c r="G17" i="37988"/>
  <c r="M13" i="37988"/>
  <c r="AW14" i="37988"/>
  <c r="BL16" i="37988"/>
  <c r="P18" i="37988"/>
  <c r="BL19" i="37988"/>
  <c r="BL13" i="37988"/>
  <c r="G21" i="37988"/>
  <c r="AQ21" i="37988"/>
  <c r="P13" i="37988"/>
  <c r="M16" i="37988"/>
  <c r="BC20" i="37988"/>
  <c r="S21" i="37988"/>
  <c r="Y18" i="37988"/>
  <c r="BL14" i="37988"/>
  <c r="BI22" i="37988"/>
  <c r="G22" i="37988"/>
  <c r="BC13" i="37988"/>
  <c r="AE20" i="37988"/>
  <c r="AE22" i="37988"/>
  <c r="G16" i="37988"/>
  <c r="AZ20" i="37988"/>
  <c r="AT15" i="37988"/>
  <c r="AT17" i="37988"/>
  <c r="BF20" i="37988"/>
  <c r="BI20" i="37988"/>
  <c r="AN15" i="37988"/>
  <c r="BI14" i="37988"/>
  <c r="AB18" i="37988"/>
  <c r="AN21" i="37988"/>
  <c r="AE17" i="37988"/>
  <c r="V22" i="37988"/>
  <c r="V13" i="37988"/>
  <c r="AQ14" i="37988"/>
  <c r="P20" i="37988"/>
  <c r="J22" i="37988"/>
  <c r="AB16" i="37988"/>
  <c r="D13" i="37988"/>
  <c r="V14" i="37988"/>
  <c r="AN19" i="37988"/>
  <c r="AW22" i="37988"/>
  <c r="AW19" i="37988"/>
  <c r="BI17" i="37988"/>
  <c r="BI19" i="37988"/>
  <c r="D15" i="37988"/>
  <c r="AN13" i="37988"/>
  <c r="S19" i="37988"/>
  <c r="D14" i="37988"/>
  <c r="G18" i="37988"/>
  <c r="AZ15" i="37988"/>
  <c r="AB20" i="37988"/>
  <c r="Y21" i="37988"/>
  <c r="S22" i="37988"/>
  <c r="G20" i="37988"/>
  <c r="V16" i="37988"/>
  <c r="G13" i="37988"/>
  <c r="AQ19" i="37988"/>
  <c r="AZ18" i="37988"/>
  <c r="V20" i="37988"/>
  <c r="Y16" i="37988"/>
  <c r="Y19" i="37988"/>
  <c r="P22" i="37988"/>
  <c r="J15" i="37988"/>
  <c r="S18" i="37988"/>
  <c r="AQ20" i="37988"/>
  <c r="BF13" i="37988"/>
  <c r="AB15" i="37988"/>
  <c r="AE15" i="37988"/>
  <c r="AF13" i="37988"/>
  <c r="AF12" i="37988"/>
  <c r="AG12" i="37988"/>
  <c r="AH18" i="37988"/>
  <c r="AW18" i="37988"/>
  <c r="AQ18" i="37988"/>
  <c r="AZ22" i="37988"/>
  <c r="AH17" i="37988"/>
  <c r="BI18" i="37988"/>
  <c r="Y13" i="37988"/>
  <c r="BC14" i="37988"/>
  <c r="BF18" i="37988"/>
  <c r="D22" i="37988"/>
  <c r="AH21" i="37988"/>
  <c r="AN14" i="37988"/>
  <c r="AO13" i="37988"/>
  <c r="AO12" i="37988"/>
  <c r="AP12" i="37988"/>
  <c r="AN20" i="37988"/>
  <c r="BL21" i="37988"/>
  <c r="J21" i="37988"/>
  <c r="S20" i="37988"/>
  <c r="J17" i="37988"/>
  <c r="BF22" i="37988"/>
  <c r="BC15" i="37988"/>
  <c r="BC19" i="37988"/>
  <c r="AB22" i="37988"/>
  <c r="J19" i="37988"/>
  <c r="D18" i="37988"/>
  <c r="AT20" i="37988"/>
  <c r="AT16" i="37988"/>
  <c r="AZ17" i="37988"/>
  <c r="AT14" i="37988"/>
  <c r="AN18" i="37988"/>
  <c r="AH19" i="37988"/>
  <c r="AH22" i="37988"/>
  <c r="D21" i="37988"/>
  <c r="AW21" i="37988"/>
  <c r="AT18" i="37988"/>
  <c r="AW13" i="37988"/>
  <c r="AZ21" i="37988"/>
  <c r="BL20" i="37988"/>
  <c r="AW15" i="37988"/>
  <c r="D20" i="37988"/>
  <c r="AN17" i="37988"/>
  <c r="AH14" i="37988"/>
  <c r="AE16" i="37988"/>
  <c r="V18" i="37988"/>
  <c r="J18" i="37988"/>
  <c r="Y15" i="37988"/>
  <c r="Z13" i="37988"/>
  <c r="Z12" i="37988"/>
  <c r="AA12" i="37988"/>
  <c r="BL18" i="37988"/>
  <c r="V19" i="37988"/>
  <c r="S14" i="37988"/>
  <c r="T13" i="37988"/>
  <c r="T12" i="37988"/>
  <c r="U12" i="37988"/>
  <c r="AE19" i="37988"/>
  <c r="BI13" i="37988"/>
  <c r="BJ13" i="37988"/>
  <c r="BJ12" i="37988"/>
  <c r="BK12" i="37988"/>
  <c r="AW20" i="37988"/>
  <c r="AH20" i="37988"/>
  <c r="AQ15" i="37988"/>
  <c r="AH15" i="37988"/>
  <c r="M19" i="37988"/>
  <c r="M22" i="37988"/>
  <c r="S17" i="37988"/>
  <c r="AQ22" i="37988"/>
  <c r="AW16" i="37988"/>
  <c r="AQ16" i="37988"/>
  <c r="AW17" i="37988"/>
  <c r="P17" i="37988"/>
  <c r="Y17" i="37988"/>
  <c r="Y22" i="37988"/>
  <c r="M20" i="37988"/>
  <c r="P19" i="37988"/>
  <c r="D19" i="37988"/>
  <c r="P15" i="37988"/>
  <c r="Q13" i="37988"/>
  <c r="Q12" i="37988"/>
  <c r="R12" i="37988"/>
  <c r="P16" i="37988"/>
  <c r="AB14" i="37988"/>
  <c r="BC21" i="37988"/>
  <c r="M15" i="37988"/>
  <c r="AN22" i="37988"/>
  <c r="BF21" i="37988"/>
  <c r="J16" i="37988"/>
  <c r="K13" i="37988"/>
  <c r="K12" i="37988"/>
  <c r="L12" i="37988"/>
  <c r="AH16" i="37988"/>
  <c r="BF15" i="37988"/>
  <c r="BC17" i="37988"/>
  <c r="AT22" i="37988"/>
  <c r="BF17" i="37988"/>
  <c r="BC22" i="37988"/>
  <c r="H57" i="37988"/>
  <c r="H56" i="37988"/>
  <c r="I56" i="37988"/>
  <c r="AU13" i="37988"/>
  <c r="AU12" i="37988"/>
  <c r="AV12" i="37988"/>
  <c r="Q57" i="37988"/>
  <c r="Q56" i="37988"/>
  <c r="R56" i="37988"/>
  <c r="AF11" i="2"/>
  <c r="W11" i="2"/>
  <c r="BG13" i="37988"/>
  <c r="BG12" i="37988"/>
  <c r="BH12" i="37988"/>
  <c r="BA13" i="37988"/>
  <c r="BA12" i="37988"/>
  <c r="BB12" i="37988"/>
  <c r="AL57" i="37988"/>
  <c r="AL56" i="37988"/>
  <c r="AM56" i="37988"/>
  <c r="E57" i="37988"/>
  <c r="E56" i="37988"/>
  <c r="F56" i="37988"/>
  <c r="AC57" i="37988"/>
  <c r="AC56" i="37988"/>
  <c r="AD56" i="37988"/>
  <c r="AF57" i="37988"/>
  <c r="AF56" i="37988"/>
  <c r="AG56" i="37988"/>
  <c r="AX57" i="37988"/>
  <c r="AX56" i="37988"/>
  <c r="AY56" i="37988"/>
  <c r="W57" i="37988"/>
  <c r="W56" i="37988"/>
  <c r="X56" i="37988"/>
  <c r="BA57" i="37988"/>
  <c r="BA56" i="37988"/>
  <c r="BB56" i="37988"/>
  <c r="K57" i="37988"/>
  <c r="K56" i="37988"/>
  <c r="L56" i="37988"/>
  <c r="T57" i="37988"/>
  <c r="T56" i="37988"/>
  <c r="U56" i="37988"/>
  <c r="AO57" i="37988"/>
  <c r="AO56" i="37988"/>
  <c r="AP56" i="37988"/>
  <c r="AR57" i="37988"/>
  <c r="AR56" i="37988"/>
  <c r="AS56" i="37988"/>
  <c r="BJ57" i="37988"/>
  <c r="BJ56" i="37988"/>
  <c r="BK56" i="37988"/>
  <c r="BG57" i="37988"/>
  <c r="BG56" i="37988"/>
  <c r="BH56" i="37988"/>
  <c r="N57" i="37988"/>
  <c r="N56" i="37988"/>
  <c r="O56" i="37988"/>
  <c r="AU57" i="37988"/>
  <c r="AU56" i="37988"/>
  <c r="AV56" i="37988"/>
  <c r="BD57" i="37988"/>
  <c r="BD56" i="37988"/>
  <c r="BE56" i="37988"/>
  <c r="Z57" i="37988"/>
  <c r="Z56" i="37988"/>
  <c r="AA56" i="37988"/>
  <c r="N13" i="37988"/>
  <c r="N12" i="37988"/>
  <c r="O12" i="37988"/>
  <c r="W13" i="37988"/>
  <c r="W12" i="37988"/>
  <c r="X12" i="37988"/>
  <c r="H13" i="37988"/>
  <c r="H12" i="37988"/>
  <c r="I12" i="37988"/>
  <c r="AC13" i="37988"/>
  <c r="AC12" i="37988"/>
  <c r="AD12" i="37988"/>
  <c r="BM13" i="37988"/>
  <c r="BM12" i="37988"/>
  <c r="BN12" i="37988"/>
  <c r="BD13" i="37988"/>
  <c r="BD12" i="37988"/>
  <c r="BE12" i="37988"/>
  <c r="AX13" i="37988"/>
  <c r="AX12" i="37988"/>
  <c r="AY12" i="37988"/>
  <c r="E13" i="37988"/>
  <c r="E12" i="37988"/>
  <c r="F12" i="37988"/>
  <c r="L25" i="37998"/>
  <c r="M25" i="37998"/>
  <c r="AX79" i="37988"/>
  <c r="AQ13" i="37988"/>
  <c r="L28" i="37998"/>
  <c r="M28" i="37998"/>
  <c r="BG79" i="37988"/>
  <c r="S61" i="2"/>
  <c r="P51" i="37988"/>
  <c r="AD61" i="2"/>
  <c r="U55" i="2"/>
  <c r="V68" i="37988"/>
  <c r="W68" i="37988"/>
  <c r="W67" i="37988"/>
  <c r="X67" i="37988"/>
  <c r="AD55" i="2"/>
  <c r="BC69" i="37988"/>
  <c r="AE77" i="37988"/>
  <c r="AD234" i="2"/>
  <c r="AD229" i="2"/>
  <c r="AD85" i="2"/>
  <c r="AF18" i="2"/>
  <c r="W18" i="2"/>
  <c r="AD248" i="2"/>
  <c r="Q218" i="2"/>
  <c r="J28" i="37988"/>
  <c r="AD218" i="2"/>
  <c r="S90" i="2"/>
  <c r="AD90" i="2"/>
  <c r="S89" i="2"/>
  <c r="AD89" i="2"/>
  <c r="R69" i="2"/>
  <c r="AD69" i="2"/>
  <c r="AD216" i="2"/>
  <c r="AD205" i="2"/>
  <c r="R70" i="2"/>
  <c r="AD70" i="2"/>
  <c r="R53" i="2"/>
  <c r="AD53" i="2"/>
  <c r="AD213" i="2"/>
  <c r="AD249" i="2"/>
  <c r="L22" i="37998"/>
  <c r="M22" i="37998"/>
  <c r="AO79" i="37988"/>
  <c r="S129" i="2"/>
  <c r="D29" i="37988"/>
  <c r="BC24" i="37988"/>
  <c r="AE26" i="37988"/>
  <c r="AE28" i="37988"/>
  <c r="Y25" i="37988"/>
  <c r="V213" i="2"/>
  <c r="AF213" i="2"/>
  <c r="W213" i="2"/>
  <c r="J68" i="37988"/>
  <c r="AQ68" i="37988"/>
  <c r="AZ77" i="37988"/>
  <c r="AW72" i="37988"/>
  <c r="AQ75" i="37988"/>
  <c r="AN71" i="37988"/>
  <c r="AQ76" i="37988"/>
  <c r="P69" i="37988"/>
  <c r="BF77" i="37988"/>
  <c r="AH77" i="37988"/>
  <c r="BC72" i="37988"/>
  <c r="V69" i="37988"/>
  <c r="D76" i="37988"/>
  <c r="Y69" i="37988"/>
  <c r="AN75" i="37988"/>
  <c r="BL72" i="37988"/>
  <c r="AT70" i="37988"/>
  <c r="AB69" i="37988"/>
  <c r="AN68" i="37988"/>
  <c r="Y74" i="37988"/>
  <c r="G68" i="37988"/>
  <c r="AN77" i="37988"/>
  <c r="BF74" i="37988"/>
  <c r="AN74" i="37988"/>
  <c r="AT76" i="37988"/>
  <c r="P74" i="37988"/>
  <c r="AB73" i="37988"/>
  <c r="AB76" i="37988"/>
  <c r="M76" i="37988"/>
  <c r="AN70" i="37988"/>
  <c r="S75" i="37988"/>
  <c r="J76" i="37988"/>
  <c r="Y70" i="37988"/>
  <c r="AQ70" i="37988"/>
  <c r="AN72" i="37988"/>
  <c r="AE73" i="37988"/>
  <c r="D77" i="37988"/>
  <c r="AT77" i="37988"/>
  <c r="AW69" i="37988"/>
  <c r="BF73" i="37988"/>
  <c r="BI72" i="37988"/>
  <c r="BC77" i="37988"/>
  <c r="AH75" i="37988"/>
  <c r="AT73" i="37988"/>
  <c r="S68" i="37988"/>
  <c r="AH73" i="37988"/>
  <c r="AZ72" i="37988"/>
  <c r="M77" i="37988"/>
  <c r="AZ74" i="37988"/>
  <c r="J73" i="37988"/>
  <c r="BF69" i="37988"/>
  <c r="P73" i="37988"/>
  <c r="J74" i="37988"/>
  <c r="Y76" i="37988"/>
  <c r="AH76" i="37988"/>
  <c r="AQ77" i="37988"/>
  <c r="S72" i="37988"/>
  <c r="G72" i="37988"/>
  <c r="AZ68" i="37988"/>
  <c r="AT74" i="37988"/>
  <c r="S73" i="37988"/>
  <c r="BF70" i="37988"/>
  <c r="G75" i="37988"/>
  <c r="AW76" i="37988"/>
  <c r="AE70" i="37988"/>
  <c r="V76" i="37988"/>
  <c r="V70" i="37988"/>
  <c r="J77" i="37988"/>
  <c r="AT72" i="37988"/>
  <c r="V72" i="37988"/>
  <c r="AT68" i="37988"/>
  <c r="Y71" i="37988"/>
  <c r="AE71" i="37988"/>
  <c r="AH69" i="37988"/>
  <c r="S76" i="37988"/>
  <c r="BL71" i="37988"/>
  <c r="G76" i="37988"/>
  <c r="S71" i="37988"/>
  <c r="D75" i="37988"/>
  <c r="G73" i="37988"/>
  <c r="BF72" i="37988"/>
  <c r="AB74" i="37988"/>
  <c r="Y73" i="37988"/>
  <c r="AH72" i="37988"/>
  <c r="BI69" i="37988"/>
  <c r="AT71" i="37988"/>
  <c r="S69" i="37988"/>
  <c r="S74" i="37988"/>
  <c r="D74" i="37988"/>
  <c r="S77" i="37988"/>
  <c r="J70" i="37988"/>
  <c r="AB77" i="37988"/>
  <c r="D71" i="37988"/>
  <c r="AE74" i="37988"/>
  <c r="V74" i="37988"/>
  <c r="AE68" i="37988"/>
  <c r="AB72" i="37988"/>
  <c r="M74" i="37988"/>
  <c r="BC68" i="37988"/>
  <c r="AQ69" i="37988"/>
  <c r="BI75" i="37988"/>
  <c r="G74" i="37988"/>
  <c r="P76" i="37988"/>
  <c r="AW77" i="37988"/>
  <c r="D68" i="37988"/>
  <c r="M75" i="37988"/>
  <c r="P70" i="37988"/>
  <c r="D70" i="37988"/>
  <c r="AZ70" i="37988"/>
  <c r="BI74" i="37988"/>
  <c r="AT69" i="37988"/>
  <c r="AZ71" i="37988"/>
  <c r="AN76" i="37988"/>
  <c r="P72" i="37988"/>
  <c r="AE69" i="37988"/>
  <c r="S70" i="37988"/>
  <c r="D69" i="37988"/>
  <c r="AW73" i="37988"/>
  <c r="BL74" i="37988"/>
  <c r="Y72" i="37988"/>
  <c r="BF68" i="37988"/>
  <c r="Y75" i="37988"/>
  <c r="AW75" i="37988"/>
  <c r="AN73" i="37988"/>
  <c r="M72" i="37988"/>
  <c r="D72" i="37988"/>
  <c r="M73" i="37988"/>
  <c r="BL68" i="37988"/>
  <c r="J75" i="37988"/>
  <c r="AW70" i="37988"/>
  <c r="Y77" i="37988"/>
  <c r="AZ75" i="37988"/>
  <c r="AT75" i="37988"/>
  <c r="AZ69" i="37988"/>
  <c r="M70" i="37988"/>
  <c r="BL77" i="37988"/>
  <c r="G77" i="37988"/>
  <c r="AW71" i="37988"/>
  <c r="P71" i="37988"/>
  <c r="BF71" i="37988"/>
  <c r="G70" i="37988"/>
  <c r="BC75" i="37988"/>
  <c r="AB70" i="37988"/>
  <c r="AQ74" i="37988"/>
  <c r="AB68" i="37988"/>
  <c r="V77" i="37988"/>
  <c r="BF75" i="37988"/>
  <c r="BL73" i="37988"/>
  <c r="BI76" i="37988"/>
  <c r="AZ73" i="37988"/>
  <c r="P77" i="37988"/>
  <c r="BI73" i="37988"/>
  <c r="BL69" i="37988"/>
  <c r="M68" i="37988"/>
  <c r="M71" i="37988"/>
  <c r="AH68" i="37988"/>
  <c r="BC71" i="37988"/>
  <c r="AZ76" i="37988"/>
  <c r="AW68" i="37988"/>
  <c r="AX68" i="37988"/>
  <c r="AX67" i="37988"/>
  <c r="AY67" i="37988"/>
  <c r="BL76" i="37988"/>
  <c r="BF76" i="37988"/>
  <c r="J72" i="37988"/>
  <c r="AQ73" i="37988"/>
  <c r="J69" i="37988"/>
  <c r="AH74" i="37988"/>
  <c r="AN69" i="37988"/>
  <c r="AH70" i="37988"/>
  <c r="G69" i="37988"/>
  <c r="BI68" i="37988"/>
  <c r="P75" i="37988"/>
  <c r="AB75" i="37988"/>
  <c r="V71" i="37988"/>
  <c r="BL75" i="37988"/>
  <c r="BC74" i="37988"/>
  <c r="AE75" i="37988"/>
  <c r="V75" i="37988"/>
  <c r="AW74" i="37988"/>
  <c r="BL70" i="37988"/>
  <c r="J71" i="37988"/>
  <c r="P68" i="37988"/>
  <c r="AE76" i="37988"/>
  <c r="BI77" i="37988"/>
  <c r="G71" i="37988"/>
  <c r="V73" i="37988"/>
  <c r="AQ71" i="37988"/>
  <c r="AQ72" i="37988"/>
  <c r="Y68" i="37988"/>
  <c r="Z68" i="37988"/>
  <c r="Z67" i="37988"/>
  <c r="AA67" i="37988"/>
  <c r="BI70" i="37988"/>
  <c r="AE72" i="37988"/>
  <c r="AB71" i="37988"/>
  <c r="AH71" i="37988"/>
  <c r="D73" i="37988"/>
  <c r="BC70" i="37988"/>
  <c r="BI71" i="37988"/>
  <c r="BC76" i="37988"/>
  <c r="BC73" i="37988"/>
  <c r="AH51" i="37988"/>
  <c r="BF51" i="37988"/>
  <c r="AQ47" i="37988"/>
  <c r="S46" i="37988"/>
  <c r="BF53" i="37988"/>
  <c r="AN48" i="37988"/>
  <c r="D48" i="37988"/>
  <c r="AQ51" i="37988"/>
  <c r="P52" i="37988"/>
  <c r="BL53" i="37988"/>
  <c r="AZ52" i="37988"/>
  <c r="V51" i="37988"/>
  <c r="G53" i="37988"/>
  <c r="D49" i="37988"/>
  <c r="AB50" i="37988"/>
  <c r="AN53" i="37988"/>
  <c r="BC47" i="37988"/>
  <c r="P47" i="37988"/>
  <c r="BL49" i="37988"/>
  <c r="BF25" i="37988"/>
  <c r="AT25" i="37988"/>
  <c r="V31" i="37988"/>
  <c r="V25" i="37988"/>
  <c r="S30" i="37988"/>
  <c r="AE32" i="37988"/>
  <c r="BL26" i="37988"/>
  <c r="J24" i="37988"/>
  <c r="BF46" i="37988"/>
  <c r="AZ49" i="37988"/>
  <c r="V52" i="37988"/>
  <c r="AH46" i="37988"/>
  <c r="Y47" i="37988"/>
  <c r="AF53" i="2"/>
  <c r="W53" i="2"/>
  <c r="V53" i="2"/>
  <c r="AF205" i="2"/>
  <c r="W205" i="2"/>
  <c r="V205" i="2"/>
  <c r="V89" i="2"/>
  <c r="AF89" i="2"/>
  <c r="W89" i="2"/>
  <c r="AF218" i="2"/>
  <c r="W218" i="2"/>
  <c r="V218" i="2"/>
  <c r="V85" i="2"/>
  <c r="AF85" i="2"/>
  <c r="W85" i="2"/>
  <c r="BC40" i="37988"/>
  <c r="BL43" i="37988"/>
  <c r="AH43" i="37988"/>
  <c r="AQ40" i="37988"/>
  <c r="S35" i="37988"/>
  <c r="AZ37" i="37988"/>
  <c r="AT36" i="37988"/>
  <c r="J38" i="37988"/>
  <c r="S39" i="37988"/>
  <c r="G39" i="37988"/>
  <c r="S40" i="37988"/>
  <c r="AQ38" i="37988"/>
  <c r="J36" i="37988"/>
  <c r="AN35" i="37988"/>
  <c r="AN38" i="37988"/>
  <c r="P36" i="37988"/>
  <c r="M35" i="37988"/>
  <c r="AW40" i="37988"/>
  <c r="V35" i="37988"/>
  <c r="Y43" i="37988"/>
  <c r="P38" i="37988"/>
  <c r="Y41" i="37988"/>
  <c r="BI42" i="37988"/>
  <c r="AE42" i="37988"/>
  <c r="Y37" i="37988"/>
  <c r="AW42" i="37988"/>
  <c r="G36" i="37988"/>
  <c r="D44" i="37988"/>
  <c r="AB42" i="37988"/>
  <c r="M36" i="37988"/>
  <c r="D35" i="37988"/>
  <c r="AH38" i="37988"/>
  <c r="S42" i="37988"/>
  <c r="AZ44" i="37988"/>
  <c r="AE37" i="37988"/>
  <c r="M41" i="37988"/>
  <c r="J43" i="37988"/>
  <c r="AN40" i="37988"/>
  <c r="AW38" i="37988"/>
  <c r="D40" i="37988"/>
  <c r="AB43" i="37988"/>
  <c r="P39" i="37988"/>
  <c r="AQ41" i="37988"/>
  <c r="Y35" i="37988"/>
  <c r="V44" i="37988"/>
  <c r="BC41" i="37988"/>
  <c r="AW37" i="37988"/>
  <c r="AH40" i="37988"/>
  <c r="AZ35" i="37988"/>
  <c r="D36" i="37988"/>
  <c r="Y40" i="37988"/>
  <c r="AN43" i="37988"/>
  <c r="AZ43" i="37988"/>
  <c r="AW43" i="37988"/>
  <c r="AE44" i="37988"/>
  <c r="BL42" i="37988"/>
  <c r="AH39" i="37988"/>
  <c r="BC43" i="37988"/>
  <c r="AB35" i="37988"/>
  <c r="V39" i="37988"/>
  <c r="BI39" i="37988"/>
  <c r="AH44" i="37988"/>
  <c r="AB37" i="37988"/>
  <c r="V43" i="37988"/>
  <c r="BL39" i="37988"/>
  <c r="G44" i="37988"/>
  <c r="BI44" i="37988"/>
  <c r="G41" i="37988"/>
  <c r="Y39" i="37988"/>
  <c r="AN39" i="37988"/>
  <c r="BL38" i="37988"/>
  <c r="AW36" i="37988"/>
  <c r="AQ44" i="37988"/>
  <c r="AE35" i="37988"/>
  <c r="AE38" i="37988"/>
  <c r="AT42" i="37988"/>
  <c r="AH42" i="37988"/>
  <c r="Y36" i="37988"/>
  <c r="J44" i="37988"/>
  <c r="P37" i="37988"/>
  <c r="D41" i="37988"/>
  <c r="P41" i="37988"/>
  <c r="AQ42" i="37988"/>
  <c r="D43" i="37988"/>
  <c r="BL37" i="37988"/>
  <c r="Y38" i="37988"/>
  <c r="AB40" i="37988"/>
  <c r="D38" i="37988"/>
  <c r="V37" i="37988"/>
  <c r="AB38" i="37988"/>
  <c r="BF35" i="37988"/>
  <c r="BC36" i="37988"/>
  <c r="AZ41" i="37988"/>
  <c r="AW44" i="37988"/>
  <c r="AB36" i="37988"/>
  <c r="AZ42" i="37988"/>
  <c r="AW39" i="37988"/>
  <c r="BL35" i="37988"/>
  <c r="AB39" i="37988"/>
  <c r="AE43" i="37988"/>
  <c r="BL41" i="37988"/>
  <c r="AH35" i="37988"/>
  <c r="AN44" i="37988"/>
  <c r="D39" i="37988"/>
  <c r="AZ39" i="37988"/>
  <c r="AW35" i="37988"/>
  <c r="BL44" i="37988"/>
  <c r="J41" i="37988"/>
  <c r="BC35" i="37988"/>
  <c r="S36" i="37988"/>
  <c r="BI40" i="37988"/>
  <c r="BF37" i="37988"/>
  <c r="AN42" i="37988"/>
  <c r="BC39" i="37988"/>
  <c r="AB41" i="37988"/>
  <c r="AH36" i="37988"/>
  <c r="J42" i="37988"/>
  <c r="BF42" i="37988"/>
  <c r="BF44" i="37988"/>
  <c r="AE36" i="37988"/>
  <c r="D42" i="37988"/>
  <c r="AE41" i="37988"/>
  <c r="S38" i="37988"/>
  <c r="BI36" i="37988"/>
  <c r="AH41" i="37988"/>
  <c r="J39" i="37988"/>
  <c r="AZ38" i="37988"/>
  <c r="BC37" i="37988"/>
  <c r="P43" i="37988"/>
  <c r="G38" i="37988"/>
  <c r="G43" i="37988"/>
  <c r="AT43" i="37988"/>
  <c r="J35" i="37988"/>
  <c r="G37" i="37988"/>
  <c r="M42" i="37988"/>
  <c r="BF38" i="37988"/>
  <c r="AE39" i="37988"/>
  <c r="BC42" i="37988"/>
  <c r="M39" i="37988"/>
  <c r="Y44" i="37988"/>
  <c r="AQ36" i="37988"/>
  <c r="AZ36" i="37988"/>
  <c r="G40" i="37988"/>
  <c r="G42" i="37988"/>
  <c r="V38" i="37988"/>
  <c r="AN36" i="37988"/>
  <c r="BI38" i="37988"/>
  <c r="BF40" i="37988"/>
  <c r="S43" i="37988"/>
  <c r="BI37" i="37988"/>
  <c r="M44" i="37988"/>
  <c r="AT40" i="37988"/>
  <c r="M38" i="37988"/>
  <c r="P42" i="37988"/>
  <c r="BI43" i="37988"/>
  <c r="AQ35" i="37988"/>
  <c r="AQ43" i="37988"/>
  <c r="G35" i="37988"/>
  <c r="V36" i="37988"/>
  <c r="P35" i="37988"/>
  <c r="Q35" i="37988"/>
  <c r="Q34" i="37988"/>
  <c r="R34" i="37988"/>
  <c r="BC38" i="37988"/>
  <c r="AN37" i="37988"/>
  <c r="AQ37" i="37988"/>
  <c r="AT39" i="37988"/>
  <c r="BI41" i="37988"/>
  <c r="J40" i="37988"/>
  <c r="P40" i="37988"/>
  <c r="V42" i="37988"/>
  <c r="AT38" i="37988"/>
  <c r="AT35" i="37988"/>
  <c r="AB44" i="37988"/>
  <c r="S37" i="37988"/>
  <c r="P44" i="37988"/>
  <c r="BL40" i="37988"/>
  <c r="V41" i="37988"/>
  <c r="AT44" i="37988"/>
  <c r="M43" i="37988"/>
  <c r="BF39" i="37988"/>
  <c r="AE40" i="37988"/>
  <c r="AZ40" i="37988"/>
  <c r="AH37" i="37988"/>
  <c r="AW41" i="37988"/>
  <c r="D37" i="37988"/>
  <c r="S44" i="37988"/>
  <c r="M40" i="37988"/>
  <c r="BI35" i="37988"/>
  <c r="V40" i="37988"/>
  <c r="AQ39" i="37988"/>
  <c r="BC44" i="37988"/>
  <c r="BL36" i="37988"/>
  <c r="S41" i="37988"/>
  <c r="AT41" i="37988"/>
  <c r="Y42" i="37988"/>
  <c r="M37" i="37988"/>
  <c r="AT37" i="37988"/>
  <c r="BF36" i="37988"/>
  <c r="BF41" i="37988"/>
  <c r="AN41" i="37988"/>
  <c r="BF43" i="37988"/>
  <c r="J37" i="37988"/>
  <c r="V216" i="2"/>
  <c r="AF216" i="2"/>
  <c r="W216" i="2"/>
  <c r="J32" i="37988"/>
  <c r="AQ33" i="37988"/>
  <c r="V32" i="37988"/>
  <c r="V24" i="37988"/>
  <c r="D30" i="37988"/>
  <c r="D24" i="37988"/>
  <c r="AN25" i="37988"/>
  <c r="BI30" i="37988"/>
  <c r="J31" i="37988"/>
  <c r="G29" i="37988"/>
  <c r="P30" i="37988"/>
  <c r="Y30" i="37988"/>
  <c r="M24" i="37988"/>
  <c r="BI26" i="37988"/>
  <c r="AW31" i="37988"/>
  <c r="AQ31" i="37988"/>
  <c r="G30" i="37988"/>
  <c r="BI29" i="37988"/>
  <c r="BF33" i="37988"/>
  <c r="D26" i="37988"/>
  <c r="D28" i="37988"/>
  <c r="AB29" i="37988"/>
  <c r="BF32" i="37988"/>
  <c r="AB28" i="37988"/>
  <c r="S32" i="37988"/>
  <c r="BC26" i="37988"/>
  <c r="G26" i="37988"/>
  <c r="P25" i="37988"/>
  <c r="AN30" i="37988"/>
  <c r="AN27" i="37988"/>
  <c r="AQ24" i="37988"/>
  <c r="BL33" i="37988"/>
  <c r="AH31" i="37988"/>
  <c r="D27" i="37988"/>
  <c r="AT26" i="37988"/>
  <c r="AZ30" i="37988"/>
  <c r="AZ33" i="37988"/>
  <c r="M30" i="37988"/>
  <c r="AH27" i="37988"/>
  <c r="AW26" i="37988"/>
  <c r="P33" i="37988"/>
  <c r="D32" i="37988"/>
  <c r="AE33" i="37988"/>
  <c r="Y28" i="37988"/>
  <c r="AW25" i="37988"/>
  <c r="BC31" i="37988"/>
  <c r="AN33" i="37988"/>
  <c r="G28" i="37988"/>
  <c r="AE29" i="37988"/>
  <c r="BL27" i="37988"/>
  <c r="M28" i="37988"/>
  <c r="S29" i="37988"/>
  <c r="J25" i="37988"/>
  <c r="Y29" i="37988"/>
  <c r="AQ29" i="37988"/>
  <c r="BI33" i="37988"/>
  <c r="AT32" i="37988"/>
  <c r="AW33" i="37988"/>
  <c r="AQ32" i="37988"/>
  <c r="P27" i="37988"/>
  <c r="M25" i="37988"/>
  <c r="AB24" i="37988"/>
  <c r="AH28" i="37988"/>
  <c r="BC27" i="37988"/>
  <c r="M26" i="37988"/>
  <c r="J27" i="37988"/>
  <c r="BL30" i="37988"/>
  <c r="P32" i="37988"/>
  <c r="V29" i="37988"/>
  <c r="AW24" i="37988"/>
  <c r="AE24" i="37988"/>
  <c r="BF24" i="37988"/>
  <c r="AN28" i="37988"/>
  <c r="AN29" i="37988"/>
  <c r="M27" i="37988"/>
  <c r="G32" i="37988"/>
  <c r="P24" i="37988"/>
  <c r="M31" i="37988"/>
  <c r="AT30" i="37988"/>
  <c r="V26" i="37988"/>
  <c r="AT29" i="37988"/>
  <c r="G33" i="37988"/>
  <c r="BC33" i="37988"/>
  <c r="AH30" i="37988"/>
  <c r="AB30" i="37988"/>
  <c r="V27" i="37988"/>
  <c r="D33" i="37988"/>
  <c r="Y33" i="37988"/>
  <c r="Y27" i="37988"/>
  <c r="D31" i="37988"/>
  <c r="AH29" i="37988"/>
  <c r="AT31" i="37988"/>
  <c r="G25" i="37988"/>
  <c r="G31" i="37988"/>
  <c r="AB33" i="37988"/>
  <c r="AZ29" i="37988"/>
  <c r="BL25" i="37988"/>
  <c r="G24" i="37988"/>
  <c r="AB26" i="37988"/>
  <c r="BI24" i="37988"/>
  <c r="S33" i="37988"/>
  <c r="AW27" i="37988"/>
  <c r="AN32" i="37988"/>
  <c r="AE25" i="37988"/>
  <c r="AZ24" i="37988"/>
  <c r="S28" i="37988"/>
  <c r="AH33" i="37988"/>
  <c r="AQ28" i="37988"/>
  <c r="AT33" i="37988"/>
  <c r="M32" i="37988"/>
  <c r="BL29" i="37988"/>
  <c r="S26" i="37988"/>
  <c r="BF30" i="37988"/>
  <c r="AQ26" i="37988"/>
  <c r="Y32" i="37988"/>
  <c r="AB25" i="37988"/>
  <c r="AT24" i="37988"/>
  <c r="P28" i="37988"/>
  <c r="BF31" i="37988"/>
  <c r="BL24" i="37988"/>
  <c r="V33" i="37988"/>
  <c r="S27" i="37988"/>
  <c r="BC29" i="37988"/>
  <c r="J33" i="37988"/>
  <c r="AH25" i="37988"/>
  <c r="BI28" i="37988"/>
  <c r="AZ28" i="37988"/>
  <c r="BL31" i="37988"/>
  <c r="AW28" i="37988"/>
  <c r="AH24" i="37988"/>
  <c r="Y24" i="37988"/>
  <c r="AZ27" i="37988"/>
  <c r="AB31" i="37988"/>
  <c r="V30" i="37988"/>
  <c r="P26" i="37988"/>
  <c r="AW32" i="37988"/>
  <c r="AH32" i="37988"/>
  <c r="J30" i="37988"/>
  <c r="M33" i="37988"/>
  <c r="AZ31" i="37988"/>
  <c r="M29" i="37988"/>
  <c r="BC25" i="37988"/>
  <c r="BI32" i="37988"/>
  <c r="AZ26" i="37988"/>
  <c r="BC28" i="37988"/>
  <c r="AT28" i="37988"/>
  <c r="J26" i="37988"/>
  <c r="AN31" i="37988"/>
  <c r="S31" i="37988"/>
  <c r="AZ32" i="37988"/>
  <c r="AN26" i="37988"/>
  <c r="BF29" i="37988"/>
  <c r="BL28" i="37988"/>
  <c r="AE30" i="37988"/>
  <c r="J29" i="37988"/>
  <c r="Y26" i="37988"/>
  <c r="AT27" i="37988"/>
  <c r="AB27" i="37988"/>
  <c r="AQ30" i="37988"/>
  <c r="S25" i="37988"/>
  <c r="G27" i="37988"/>
  <c r="AF229" i="2"/>
  <c r="W229" i="2"/>
  <c r="V229" i="2"/>
  <c r="V61" i="2"/>
  <c r="AF61" i="2"/>
  <c r="W61" i="2"/>
  <c r="AT53" i="37988"/>
  <c r="AT48" i="37988"/>
  <c r="P55" i="37988"/>
  <c r="AQ55" i="37988"/>
  <c r="BL51" i="37988"/>
  <c r="J52" i="37988"/>
  <c r="BL50" i="37988"/>
  <c r="V55" i="37988"/>
  <c r="J51" i="37988"/>
  <c r="AE48" i="37988"/>
  <c r="BC51" i="37988"/>
  <c r="AW46" i="37988"/>
  <c r="BL54" i="37988"/>
  <c r="Y46" i="37988"/>
  <c r="AZ46" i="37988"/>
  <c r="M48" i="37988"/>
  <c r="BI49" i="37988"/>
  <c r="BI46" i="37988"/>
  <c r="AQ25" i="37988"/>
  <c r="BI27" i="37988"/>
  <c r="AH26" i="37988"/>
  <c r="AQ27" i="37988"/>
  <c r="BC30" i="37988"/>
  <c r="AE31" i="37988"/>
  <c r="BF26" i="37988"/>
  <c r="S24" i="37988"/>
  <c r="BI25" i="37988"/>
  <c r="BI31" i="37988"/>
  <c r="AF55" i="2"/>
  <c r="W55" i="2"/>
  <c r="V55" i="2"/>
  <c r="M47" i="37988"/>
  <c r="Y52" i="37988"/>
  <c r="AE52" i="37988"/>
  <c r="AF249" i="2"/>
  <c r="W249" i="2"/>
  <c r="V249" i="2"/>
  <c r="V70" i="2"/>
  <c r="AF70" i="2"/>
  <c r="W70" i="2"/>
  <c r="V69" i="2"/>
  <c r="AF69" i="2"/>
  <c r="W69" i="2"/>
  <c r="V90" i="2"/>
  <c r="AF90" i="2"/>
  <c r="W90" i="2"/>
  <c r="V248" i="2"/>
  <c r="AF248" i="2"/>
  <c r="W248" i="2"/>
  <c r="V234" i="2"/>
  <c r="AF234" i="2"/>
  <c r="W234" i="2"/>
  <c r="M50" i="37988"/>
  <c r="G47" i="37988"/>
  <c r="BF48" i="37988"/>
  <c r="M51" i="37988"/>
  <c r="BI54" i="37988"/>
  <c r="BF54" i="37988"/>
  <c r="Y55" i="37988"/>
  <c r="P50" i="37988"/>
  <c r="Y49" i="37988"/>
  <c r="AE51" i="37988"/>
  <c r="AW47" i="37988"/>
  <c r="AW51" i="37988"/>
  <c r="M55" i="37988"/>
  <c r="AW48" i="37988"/>
  <c r="AN54" i="37988"/>
  <c r="P48" i="37988"/>
  <c r="AW55" i="37988"/>
  <c r="AW53" i="37988"/>
  <c r="Y51" i="37988"/>
  <c r="AH53" i="37988"/>
  <c r="BI53" i="37988"/>
  <c r="AN46" i="37988"/>
  <c r="BL47" i="37988"/>
  <c r="P54" i="37988"/>
  <c r="AB52" i="37988"/>
  <c r="AN50" i="37988"/>
  <c r="AT47" i="37988"/>
  <c r="G51" i="37988"/>
  <c r="AN47" i="37988"/>
  <c r="AW52" i="37988"/>
  <c r="BC50" i="37988"/>
  <c r="D47" i="37988"/>
  <c r="J53" i="37988"/>
  <c r="J46" i="37988"/>
  <c r="AT49" i="37988"/>
  <c r="BC49" i="37988"/>
  <c r="D46" i="37988"/>
  <c r="E46" i="37988"/>
  <c r="E45" i="37988"/>
  <c r="F45" i="37988"/>
  <c r="G54" i="37988"/>
  <c r="BC46" i="37988"/>
  <c r="AZ54" i="37988"/>
  <c r="BC53" i="37988"/>
  <c r="Y54" i="37988"/>
  <c r="AH52" i="37988"/>
  <c r="J49" i="37988"/>
  <c r="Y48" i="37988"/>
  <c r="BI48" i="37988"/>
  <c r="AT50" i="37988"/>
  <c r="AT55" i="37988"/>
  <c r="G48" i="37988"/>
  <c r="AE50" i="37988"/>
  <c r="V54" i="37988"/>
  <c r="AN52" i="37988"/>
  <c r="BI52" i="37988"/>
  <c r="D54" i="37988"/>
  <c r="AT54" i="37988"/>
  <c r="M52" i="37988"/>
  <c r="V47" i="37988"/>
  <c r="G49" i="37988"/>
  <c r="AQ52" i="37988"/>
  <c r="BI55" i="37988"/>
  <c r="AB54" i="37988"/>
  <c r="G55" i="37988"/>
  <c r="J55" i="37988"/>
  <c r="J54" i="37988"/>
  <c r="AE46" i="37988"/>
  <c r="M49" i="37988"/>
  <c r="AZ55" i="37988"/>
  <c r="AH54" i="37988"/>
  <c r="AQ49" i="37988"/>
  <c r="S53" i="37988"/>
  <c r="AZ47" i="37988"/>
  <c r="BC55" i="37988"/>
  <c r="S54" i="37988"/>
  <c r="J47" i="37988"/>
  <c r="Y50" i="37988"/>
  <c r="AQ46" i="37988"/>
  <c r="AB48" i="37988"/>
  <c r="AQ54" i="37988"/>
  <c r="BF52" i="37988"/>
  <c r="AE54" i="37988"/>
  <c r="M54" i="37988"/>
  <c r="BF47" i="37988"/>
  <c r="AZ51" i="37988"/>
  <c r="BC52" i="37988"/>
  <c r="AB46" i="37988"/>
  <c r="AB47" i="37988"/>
  <c r="BI47" i="37988"/>
  <c r="AQ53" i="37988"/>
  <c r="BF55" i="37988"/>
  <c r="AW50" i="37988"/>
  <c r="J50" i="37988"/>
  <c r="M53" i="37988"/>
  <c r="AT52" i="37988"/>
  <c r="AW49" i="37988"/>
  <c r="AX46" i="37988"/>
  <c r="AZ48" i="37988"/>
  <c r="BC48" i="37988"/>
  <c r="AT51" i="37988"/>
  <c r="AW54" i="37988"/>
  <c r="S55" i="37988"/>
  <c r="BI50" i="37988"/>
  <c r="D52" i="37988"/>
  <c r="AE55" i="37988"/>
  <c r="J48" i="37988"/>
  <c r="V53" i="37988"/>
  <c r="AZ53" i="37988"/>
  <c r="D55" i="37988"/>
  <c r="AN51" i="37988"/>
  <c r="AN55" i="37988"/>
  <c r="M46" i="37988"/>
  <c r="N46" i="37988"/>
  <c r="AH55" i="37988"/>
  <c r="AQ48" i="37988"/>
  <c r="BL52" i="37988"/>
  <c r="V46" i="37988"/>
  <c r="BC54" i="37988"/>
  <c r="AE47" i="37988"/>
  <c r="BF50" i="37988"/>
  <c r="S50" i="37988"/>
  <c r="BF49" i="37988"/>
  <c r="BG46" i="37988"/>
  <c r="BL55" i="37988"/>
  <c r="AB55" i="37988"/>
  <c r="AQ50" i="37988"/>
  <c r="AB49" i="37988"/>
  <c r="S47" i="37988"/>
  <c r="BL48" i="37988"/>
  <c r="BL46" i="37988"/>
  <c r="BM46" i="37988"/>
  <c r="D51" i="37988"/>
  <c r="P53" i="37988"/>
  <c r="AB51" i="37988"/>
  <c r="AN49" i="37988"/>
  <c r="AO46" i="37988"/>
  <c r="AH49" i="37988"/>
  <c r="AZ50" i="37988"/>
  <c r="V49" i="37988"/>
  <c r="AB53" i="37988"/>
  <c r="AE53" i="37988"/>
  <c r="S52" i="37988"/>
  <c r="AH47" i="37988"/>
  <c r="AT46" i="37988"/>
  <c r="AU45" i="37988"/>
  <c r="AV45" i="37988"/>
  <c r="Y53" i="37988"/>
  <c r="D53" i="37988"/>
  <c r="V48" i="37988"/>
  <c r="P49" i="37988"/>
  <c r="S49" i="37988"/>
  <c r="P46" i="37988"/>
  <c r="Q46" i="37988"/>
  <c r="BF27" i="37988"/>
  <c r="BG24" i="37988"/>
  <c r="BG23" i="37988"/>
  <c r="BH23" i="37988"/>
  <c r="BL32" i="37988"/>
  <c r="AW30" i="37988"/>
  <c r="BC32" i="37988"/>
  <c r="AZ25" i="37988"/>
  <c r="P31" i="37988"/>
  <c r="V28" i="37988"/>
  <c r="BF28" i="37988"/>
  <c r="D25" i="37988"/>
  <c r="Y31" i="37988"/>
  <c r="AO45" i="37988"/>
  <c r="AP45" i="37988"/>
  <c r="AX45" i="37988"/>
  <c r="AY45" i="37988"/>
  <c r="AU24" i="37988"/>
  <c r="AU23" i="37988"/>
  <c r="AV23" i="37988"/>
  <c r="N24" i="37988"/>
  <c r="N23" i="37988"/>
  <c r="O23" i="37988"/>
  <c r="AC35" i="37988"/>
  <c r="AC34" i="37988"/>
  <c r="AD34" i="37988"/>
  <c r="E35" i="37988"/>
  <c r="E34" i="37988"/>
  <c r="F34" i="37988"/>
  <c r="W35" i="37988"/>
  <c r="W34" i="37988"/>
  <c r="X34" i="37988"/>
  <c r="AR68" i="37988"/>
  <c r="AR67" i="37988"/>
  <c r="AS67" i="37988"/>
  <c r="AU46" i="37988"/>
  <c r="W45" i="37988"/>
  <c r="X45" i="37988"/>
  <c r="AC45" i="37988"/>
  <c r="AD45" i="37988"/>
  <c r="AF45" i="37988"/>
  <c r="AG45" i="37988"/>
  <c r="BA45" i="37988"/>
  <c r="BB45" i="37988"/>
  <c r="BA46" i="37988"/>
  <c r="BM24" i="37988"/>
  <c r="BM23" i="37988"/>
  <c r="BN23" i="37988"/>
  <c r="BJ24" i="37988"/>
  <c r="BJ23" i="37988"/>
  <c r="BK23" i="37988"/>
  <c r="W24" i="37988"/>
  <c r="W23" i="37988"/>
  <c r="X23" i="37988"/>
  <c r="BJ35" i="37988"/>
  <c r="BJ34" i="37988"/>
  <c r="BK34" i="37988"/>
  <c r="AU35" i="37988"/>
  <c r="AU34" i="37988"/>
  <c r="AV34" i="37988"/>
  <c r="H35" i="37988"/>
  <c r="H34" i="37988"/>
  <c r="I34" i="37988"/>
  <c r="AX35" i="37988"/>
  <c r="AX34" i="37988"/>
  <c r="AY34" i="37988"/>
  <c r="AL35" i="37988"/>
  <c r="AL34" i="37988"/>
  <c r="AM34" i="37988"/>
  <c r="BM35" i="37988"/>
  <c r="BM34" i="37988"/>
  <c r="BN34" i="37988"/>
  <c r="AF35" i="37988"/>
  <c r="AF34" i="37988"/>
  <c r="AG34" i="37988"/>
  <c r="AO35" i="37988"/>
  <c r="AO34" i="37988"/>
  <c r="AP34" i="37988"/>
  <c r="BG45" i="37988"/>
  <c r="BH45" i="37988"/>
  <c r="T45" i="37988"/>
  <c r="U45" i="37988"/>
  <c r="BJ68" i="37988"/>
  <c r="BJ67" i="37988"/>
  <c r="BK67" i="37988"/>
  <c r="AC68" i="37988"/>
  <c r="AC67" i="37988"/>
  <c r="AD67" i="37988"/>
  <c r="BG68" i="37988"/>
  <c r="BG67" i="37988"/>
  <c r="BH67" i="37988"/>
  <c r="E68" i="37988"/>
  <c r="E67" i="37988"/>
  <c r="F67" i="37988"/>
  <c r="T68" i="37988"/>
  <c r="T67" i="37988"/>
  <c r="U67" i="37988"/>
  <c r="H68" i="37988"/>
  <c r="H67" i="37988"/>
  <c r="I67" i="37988"/>
  <c r="K68" i="37988"/>
  <c r="K67" i="37988"/>
  <c r="L67" i="37988"/>
  <c r="K45" i="37988"/>
  <c r="L45" i="37988"/>
  <c r="K46" i="37988"/>
  <c r="AR45" i="37988"/>
  <c r="AS45" i="37988"/>
  <c r="AR46" i="37988"/>
  <c r="T24" i="37988"/>
  <c r="T23" i="37988"/>
  <c r="U23" i="37988"/>
  <c r="BJ46" i="37988"/>
  <c r="BJ45" i="37988"/>
  <c r="BK45" i="37988"/>
  <c r="Z45" i="37988"/>
  <c r="AA45" i="37988"/>
  <c r="Z46" i="37988"/>
  <c r="Z24" i="37988"/>
  <c r="Z23" i="37988"/>
  <c r="AA23" i="37988"/>
  <c r="AR24" i="37988"/>
  <c r="AR23" i="37988"/>
  <c r="AS23" i="37988"/>
  <c r="K35" i="37988"/>
  <c r="K34" i="37988"/>
  <c r="L34" i="37988"/>
  <c r="BD35" i="37988"/>
  <c r="BD34" i="37988"/>
  <c r="BE34" i="37988"/>
  <c r="BA35" i="37988"/>
  <c r="BA34" i="37988"/>
  <c r="BB34" i="37988"/>
  <c r="N35" i="37988"/>
  <c r="N34" i="37988"/>
  <c r="O34" i="37988"/>
  <c r="T35" i="37988"/>
  <c r="T34" i="37988"/>
  <c r="U34" i="37988"/>
  <c r="AL45" i="37988"/>
  <c r="AM45" i="37988"/>
  <c r="K24" i="37988"/>
  <c r="K23" i="37988"/>
  <c r="L23" i="37988"/>
  <c r="AL68" i="37988"/>
  <c r="AL67" i="37988"/>
  <c r="AM67" i="37988"/>
  <c r="BM68" i="37988"/>
  <c r="BM67" i="37988"/>
  <c r="BN67" i="37988"/>
  <c r="AF68" i="37988"/>
  <c r="AF67" i="37988"/>
  <c r="AG67" i="37988"/>
  <c r="Q45" i="37988"/>
  <c r="R45" i="37988"/>
  <c r="BD45" i="37988"/>
  <c r="BE45" i="37988"/>
  <c r="BD46" i="37988"/>
  <c r="AL24" i="37988"/>
  <c r="AL23" i="37988"/>
  <c r="AM23" i="37988"/>
  <c r="H24" i="37988"/>
  <c r="H23" i="37988"/>
  <c r="I23" i="37988"/>
  <c r="AX24" i="37988"/>
  <c r="AX23" i="37988"/>
  <c r="AY23" i="37988"/>
  <c r="AC24" i="37988"/>
  <c r="AC23" i="37988"/>
  <c r="AD23" i="37988"/>
  <c r="E24" i="37988"/>
  <c r="E23" i="37988"/>
  <c r="F23" i="37988"/>
  <c r="AR35" i="37988"/>
  <c r="AR34" i="37988"/>
  <c r="AS34" i="37988"/>
  <c r="Z35" i="37988"/>
  <c r="Z34" i="37988"/>
  <c r="AA34" i="37988"/>
  <c r="BD68" i="37988"/>
  <c r="BD67" i="37988"/>
  <c r="BE67" i="37988"/>
  <c r="AU68" i="37988"/>
  <c r="AU67" i="37988"/>
  <c r="AV67" i="37988"/>
  <c r="BA68" i="37988"/>
  <c r="BA67" i="37988"/>
  <c r="BB67" i="37988"/>
  <c r="AO68" i="37988"/>
  <c r="AO67" i="37988"/>
  <c r="AP67" i="37988"/>
  <c r="BD24" i="37988"/>
  <c r="BD23" i="37988"/>
  <c r="BE23" i="37988"/>
  <c r="N45" i="37988"/>
  <c r="O45" i="37988"/>
  <c r="BM45" i="37988"/>
  <c r="BN45" i="37988"/>
  <c r="Q24" i="37988"/>
  <c r="Q23" i="37988"/>
  <c r="R23" i="37988"/>
  <c r="AR13" i="37988"/>
  <c r="AR12" i="37988"/>
  <c r="AS12" i="37988"/>
  <c r="AC46" i="37988"/>
  <c r="Q68" i="37988"/>
  <c r="Q67" i="37988"/>
  <c r="R67" i="37988"/>
  <c r="V50" i="37988"/>
  <c r="AW29" i="37988"/>
  <c r="P29" i="37988"/>
  <c r="M69" i="37988"/>
  <c r="AL13" i="37988"/>
  <c r="AL12" i="37988"/>
  <c r="AM12" i="37988"/>
  <c r="BA24" i="37988"/>
  <c r="BA23" i="37988"/>
  <c r="BB23" i="37988"/>
  <c r="S51" i="37988"/>
  <c r="W46" i="37988"/>
  <c r="BG35" i="37988"/>
  <c r="BG34" i="37988"/>
  <c r="BH34" i="37988"/>
  <c r="N68" i="37988"/>
  <c r="N67" i="37988"/>
  <c r="O67" i="37988"/>
  <c r="AN24" i="37988"/>
  <c r="AO24" i="37988"/>
  <c r="AO23" i="37988"/>
  <c r="AP23" i="37988"/>
  <c r="AB32" i="37988"/>
  <c r="BI51" i="37988"/>
  <c r="AE27" i="37988"/>
  <c r="AF24" i="37988"/>
  <c r="AF23" i="37988"/>
  <c r="AG23" i="37988"/>
  <c r="V200" i="2"/>
  <c r="L30" i="37998"/>
  <c r="M30" i="37998"/>
  <c r="BM79" i="37988"/>
  <c r="L29" i="37998"/>
  <c r="M29" i="37998"/>
  <c r="BJ79" i="37988"/>
  <c r="L13" i="37998"/>
  <c r="M13" i="37998"/>
  <c r="K79" i="37988"/>
  <c r="K80" i="37988"/>
  <c r="AD197" i="2"/>
  <c r="AD129" i="2"/>
  <c r="AD180" i="2"/>
  <c r="L15" i="37998"/>
  <c r="M15" i="37998"/>
  <c r="Q79" i="37988"/>
  <c r="L26" i="37998"/>
  <c r="M26" i="37998"/>
  <c r="BA79" i="37988"/>
  <c r="L23" i="37998"/>
  <c r="M23" i="37998"/>
  <c r="AR79" i="37988"/>
  <c r="L17" i="37998"/>
  <c r="M17" i="37998"/>
  <c r="W79" i="37988"/>
  <c r="BM80" i="37988"/>
  <c r="E80" i="37988"/>
  <c r="W80" i="37988"/>
  <c r="AX80" i="37988"/>
  <c r="Q80" i="37988"/>
  <c r="BJ80" i="37988"/>
  <c r="BG80" i="37988"/>
  <c r="Z80" i="37988"/>
  <c r="AO80" i="37988"/>
  <c r="N80" i="37988"/>
  <c r="T80" i="37988"/>
  <c r="AR80" i="37988"/>
  <c r="BA80" i="37988"/>
  <c r="AH48" i="37988"/>
  <c r="AL46" i="37988"/>
  <c r="L21" i="37998"/>
  <c r="M21" i="37998"/>
  <c r="AL79" i="37988"/>
  <c r="AL80" i="37988"/>
  <c r="L20" i="37998"/>
  <c r="M20" i="37998"/>
  <c r="AF79" i="37988"/>
  <c r="AF80" i="37988"/>
  <c r="L19" i="37998"/>
  <c r="M19" i="37998"/>
  <c r="AC79" i="37988"/>
  <c r="AC80" i="37988"/>
  <c r="L11" i="37998"/>
  <c r="M11" i="37998"/>
  <c r="E79" i="37988"/>
  <c r="D50" i="37988"/>
  <c r="G52" i="37988"/>
  <c r="S48" i="37988"/>
  <c r="T46" i="37988"/>
  <c r="G50" i="37988"/>
  <c r="AH50" i="37988"/>
  <c r="G46" i="37988"/>
  <c r="L27" i="37998"/>
  <c r="M27" i="37998"/>
  <c r="BD79" i="37988"/>
  <c r="BD80" i="37988"/>
  <c r="AE49" i="37988"/>
  <c r="AF46" i="37988"/>
  <c r="L24" i="37998"/>
  <c r="M24" i="37998"/>
  <c r="AU79" i="37988"/>
  <c r="AU80" i="37988"/>
  <c r="AF77" i="2"/>
  <c r="W77" i="2"/>
  <c r="AF54" i="2"/>
  <c r="W54" i="2"/>
  <c r="AD49" i="2"/>
  <c r="AF180" i="2"/>
  <c r="W180" i="2"/>
  <c r="V180" i="2"/>
  <c r="V129" i="2"/>
  <c r="AF129" i="2"/>
  <c r="W129" i="2"/>
  <c r="V197" i="2"/>
  <c r="AF197" i="2"/>
  <c r="W197" i="2"/>
  <c r="AH78" i="37988"/>
  <c r="AL78" i="37988"/>
  <c r="AL81" i="37988"/>
  <c r="AC81" i="37988"/>
  <c r="AB78" i="37988"/>
  <c r="AC78" i="37988"/>
  <c r="AU81" i="37988"/>
  <c r="AT78" i="37988"/>
  <c r="AU78" i="37988"/>
  <c r="BC78" i="37988"/>
  <c r="BD78" i="37988"/>
  <c r="BD81" i="37988"/>
  <c r="AF81" i="37988"/>
  <c r="AE78" i="37988"/>
  <c r="AF78" i="37988"/>
  <c r="AR81" i="37988"/>
  <c r="AQ78" i="37988"/>
  <c r="AR78" i="37988"/>
  <c r="AO81" i="37988"/>
  <c r="AN78" i="37988"/>
  <c r="AO78" i="37988"/>
  <c r="Q81" i="37988"/>
  <c r="P78" i="37988"/>
  <c r="Q78" i="37988"/>
  <c r="D78" i="37988"/>
  <c r="E78" i="37988"/>
  <c r="E81" i="37988"/>
  <c r="T81" i="37988"/>
  <c r="S78" i="37988"/>
  <c r="T78" i="37988"/>
  <c r="Y78" i="37988"/>
  <c r="Z78" i="37988"/>
  <c r="Z81" i="37988"/>
  <c r="N81" i="37988"/>
  <c r="M78" i="37988"/>
  <c r="N78" i="37988"/>
  <c r="J78" i="37988"/>
  <c r="K78" i="37988"/>
  <c r="K81" i="37988"/>
  <c r="AX81" i="37988"/>
  <c r="AW78" i="37988"/>
  <c r="AX78" i="37988"/>
  <c r="BL78" i="37988"/>
  <c r="BM78" i="37988"/>
  <c r="BM81" i="37988"/>
  <c r="H46" i="37988"/>
  <c r="H45" i="37988"/>
  <c r="I45" i="37988"/>
  <c r="H80" i="37988"/>
  <c r="AF49" i="2"/>
  <c r="W49" i="2"/>
  <c r="V49" i="2"/>
  <c r="AZ78" i="37988"/>
  <c r="BA78" i="37988"/>
  <c r="BA81" i="37988"/>
  <c r="BG81" i="37988"/>
  <c r="BF78" i="37988"/>
  <c r="BG78" i="37988"/>
  <c r="BJ81" i="37988"/>
  <c r="BI78" i="37988"/>
  <c r="BJ78" i="37988"/>
  <c r="W81" i="37988"/>
  <c r="V78" i="37988"/>
  <c r="W78" i="37988"/>
  <c r="H81" i="37988"/>
  <c r="G78" i="37988"/>
  <c r="H78" i="37988"/>
</calcChain>
</file>

<file path=xl/comments1.xml><?xml version="1.0" encoding="utf-8"?>
<comments xmlns="http://schemas.openxmlformats.org/spreadsheetml/2006/main">
  <authors>
    <author>adam</author>
    <author>Adam Burgess</author>
  </authors>
  <commentList>
    <comment ref="D7" authorId="0" shapeId="0">
      <text>
        <r>
          <rPr>
            <b/>
            <sz val="8"/>
            <color indexed="81"/>
            <rFont val="Tahoma"/>
            <family val="2"/>
          </rPr>
          <t xml:space="preserve">
</t>
        </r>
        <r>
          <rPr>
            <sz val="8"/>
            <color indexed="81"/>
            <rFont val="Tahoma"/>
            <family val="2"/>
          </rPr>
          <t xml:space="preserve">Enter whole number between 1 and 20
</t>
        </r>
      </text>
    </comment>
    <comment ref="F7" authorId="1" shapeId="0">
      <text>
        <r>
          <rPr>
            <sz val="8"/>
            <color indexed="81"/>
            <rFont val="Tahoma"/>
            <family val="2"/>
          </rPr>
          <t xml:space="preserve">
Enter a whole number between 3 and 11</t>
        </r>
      </text>
    </comment>
    <comment ref="G7" authorId="1" shapeId="0">
      <text>
        <r>
          <rPr>
            <sz val="9"/>
            <color indexed="81"/>
            <rFont val="Tahoma"/>
            <family val="2"/>
          </rPr>
          <t xml:space="preserve">
</t>
        </r>
        <r>
          <rPr>
            <sz val="8"/>
            <color indexed="81"/>
            <rFont val="Tahoma"/>
            <family val="2"/>
          </rPr>
          <t>Enter a whole number between 7 and 16</t>
        </r>
        <r>
          <rPr>
            <sz val="9"/>
            <color indexed="81"/>
            <rFont val="Tahoma"/>
            <family val="2"/>
          </rPr>
          <t xml:space="preserve">
</t>
        </r>
      </text>
    </comment>
    <comment ref="H7" authorId="0" shapeId="0">
      <text>
        <r>
          <rPr>
            <sz val="8"/>
            <color indexed="81"/>
            <rFont val="Tahoma"/>
            <family val="2"/>
          </rPr>
          <t xml:space="preserve">
Enter either Boy or Girl</t>
        </r>
      </text>
    </comment>
    <comment ref="I7" authorId="1" shapeId="0">
      <text>
        <r>
          <rPr>
            <sz val="8"/>
            <color indexed="81"/>
            <rFont val="Tahoma"/>
            <family val="2"/>
          </rPr>
          <t xml:space="preserve">
Enter a number between 1 and 4</t>
        </r>
        <r>
          <rPr>
            <sz val="9"/>
            <color indexed="81"/>
            <rFont val="Tahoma"/>
            <family val="2"/>
          </rPr>
          <t xml:space="preserve">
</t>
        </r>
      </text>
    </comment>
    <comment ref="J7" authorId="0" shapeId="0">
      <text>
        <r>
          <rPr>
            <sz val="8"/>
            <color indexed="81"/>
            <rFont val="Tahoma"/>
            <family val="2"/>
          </rPr>
          <t xml:space="preserve">
A number between 0.10 and 4.00 (metres and cm)</t>
        </r>
      </text>
    </comment>
    <comment ref="K7" authorId="0" shapeId="0">
      <text>
        <r>
          <rPr>
            <sz val="8"/>
            <color indexed="81"/>
            <rFont val="Tahoma"/>
            <family val="2"/>
          </rPr>
          <t xml:space="preserve">
A whole number between 1 and 70 (count of bounces)</t>
        </r>
      </text>
    </comment>
    <comment ref="L7" authorId="0" shapeId="0">
      <text>
        <r>
          <rPr>
            <sz val="8"/>
            <color indexed="81"/>
            <rFont val="Tahoma"/>
            <family val="2"/>
          </rPr>
          <t xml:space="preserve">
A whole number between 1 and 24 (beanbag score)</t>
        </r>
      </text>
    </comment>
    <comment ref="M7" authorId="0" shapeId="0">
      <text>
        <r>
          <rPr>
            <sz val="8"/>
            <color indexed="81"/>
            <rFont val="Tahoma"/>
            <family val="2"/>
          </rPr>
          <t xml:space="preserve">
A number between 10.1 and 70.0 (seconds and tenths) Ensure only one Decimal place</t>
        </r>
      </text>
    </comment>
    <comment ref="N7" authorId="0" shapeId="0">
      <text>
        <r>
          <rPr>
            <sz val="8"/>
            <color indexed="81"/>
            <rFont val="Tahoma"/>
            <family val="2"/>
          </rPr>
          <t xml:space="preserve">
A number between 0.50 and 14.0 (metres and cms in increments of 0.25)</t>
        </r>
      </text>
    </comment>
    <comment ref="O7" authorId="0" shapeId="0">
      <text>
        <r>
          <rPr>
            <sz val="8"/>
            <color indexed="81"/>
            <rFont val="Tahoma"/>
            <family val="2"/>
          </rPr>
          <t xml:space="preserve">
A whole number between 1 and 30 (metres)
</t>
        </r>
      </text>
    </comment>
  </commentList>
</comments>
</file>

<file path=xl/sharedStrings.xml><?xml version="1.0" encoding="utf-8"?>
<sst xmlns="http://schemas.openxmlformats.org/spreadsheetml/2006/main" count="8617" uniqueCount="6193">
  <si>
    <t>Date</t>
  </si>
  <si>
    <t>Venue</t>
  </si>
  <si>
    <t>School / Team Names</t>
  </si>
  <si>
    <t>Number of Teams</t>
  </si>
  <si>
    <t>Girl</t>
  </si>
  <si>
    <t>Boy</t>
  </si>
  <si>
    <t>Team 1</t>
  </si>
  <si>
    <t>Team 2</t>
  </si>
  <si>
    <t>Team 3</t>
  </si>
  <si>
    <t>Team 4</t>
  </si>
  <si>
    <t>Team 5</t>
  </si>
  <si>
    <t>Team 6</t>
  </si>
  <si>
    <t>Team 7</t>
  </si>
  <si>
    <t>Team 8</t>
  </si>
  <si>
    <t>Team 9</t>
  </si>
  <si>
    <t>Team 10</t>
  </si>
  <si>
    <t>Gold</t>
  </si>
  <si>
    <t>Silver</t>
  </si>
  <si>
    <t>Bronze</t>
  </si>
  <si>
    <t xml:space="preserve"> Team</t>
  </si>
  <si>
    <t xml:space="preserve"> Age</t>
  </si>
  <si>
    <t xml:space="preserve"> St. Long Jump</t>
  </si>
  <si>
    <t xml:space="preserve"> Speed Bounce</t>
  </si>
  <si>
    <t xml:space="preserve"> Target Throw</t>
  </si>
  <si>
    <t xml:space="preserve"> Hi-Stepper</t>
  </si>
  <si>
    <t xml:space="preserve"> Chest Push</t>
  </si>
  <si>
    <t xml:space="preserve"> Javelin Throw</t>
  </si>
  <si>
    <t>Soft Javelin</t>
  </si>
  <si>
    <t>Total Points</t>
  </si>
  <si>
    <t>Final Rank</t>
  </si>
  <si>
    <t>Total</t>
  </si>
  <si>
    <t>Rank</t>
  </si>
  <si>
    <t>Points</t>
  </si>
  <si>
    <t>Target Throw</t>
  </si>
  <si>
    <t>Name</t>
  </si>
  <si>
    <t xml:space="preserve"> Boy or Girl</t>
  </si>
  <si>
    <t>Speed Bounce</t>
  </si>
  <si>
    <t>Chest Push</t>
  </si>
  <si>
    <t>Hi-Stepper</t>
  </si>
  <si>
    <t>Standing Long Jump</t>
  </si>
  <si>
    <t>Team 11</t>
  </si>
  <si>
    <t>Team 12</t>
  </si>
  <si>
    <t>Team 13</t>
  </si>
  <si>
    <t>Team 14</t>
  </si>
  <si>
    <t>Team 15</t>
  </si>
  <si>
    <t>Team 16</t>
  </si>
  <si>
    <t>Team 17</t>
  </si>
  <si>
    <t>Team 18</t>
  </si>
  <si>
    <t>Team 19</t>
  </si>
  <si>
    <t>Team 20</t>
  </si>
  <si>
    <t xml:space="preserve"> Year Group</t>
  </si>
  <si>
    <t>REGISTRATION SHEET</t>
  </si>
  <si>
    <t>Number</t>
  </si>
  <si>
    <t>Age</t>
  </si>
  <si>
    <t>Boy / Girl</t>
  </si>
  <si>
    <t>Teacher to enter participants details then pass to the scorers.</t>
  </si>
  <si>
    <t>STANDING LONG JUMP</t>
  </si>
  <si>
    <t>SPEED BOUNCE</t>
  </si>
  <si>
    <t>TARGET THROW</t>
  </si>
  <si>
    <t>HI-STEPPER</t>
  </si>
  <si>
    <t>CHEST PUSH</t>
  </si>
  <si>
    <t>SOFT JAVELIN</t>
  </si>
  <si>
    <t>Trial 1</t>
  </si>
  <si>
    <t>Trial 2</t>
  </si>
  <si>
    <t>Trial 3</t>
  </si>
  <si>
    <t>Best</t>
  </si>
  <si>
    <t>Score</t>
  </si>
  <si>
    <t>3m</t>
  </si>
  <si>
    <t>5m</t>
  </si>
  <si>
    <t>7m</t>
  </si>
  <si>
    <t>9m</t>
  </si>
  <si>
    <t>Time</t>
  </si>
  <si>
    <t>Faults</t>
  </si>
  <si>
    <t>Amended Time</t>
  </si>
  <si>
    <t>Relay 1</t>
  </si>
  <si>
    <t>Relay 2</t>
  </si>
  <si>
    <t>Relay 3</t>
  </si>
  <si>
    <t>Pts</t>
  </si>
  <si>
    <t>Pos</t>
  </si>
  <si>
    <t>Please enter a time for each competing team in the relevant relay space in seconds and tenths.</t>
  </si>
  <si>
    <t>Relay Points</t>
  </si>
  <si>
    <t xml:space="preserve">Information on each section is detailed below . </t>
  </si>
  <si>
    <t>Scoresheets</t>
  </si>
  <si>
    <r>
      <t>Competition File</t>
    </r>
    <r>
      <rPr>
        <sz val="14"/>
        <color indexed="30"/>
        <rFont val="Arial"/>
        <family val="2"/>
      </rPr>
      <t xml:space="preserve"> </t>
    </r>
  </si>
  <si>
    <t>Competition Menu</t>
  </si>
  <si>
    <t xml:space="preserve">Further details will be found on the worksheet. </t>
  </si>
  <si>
    <t>Please enter any relay results in this worksheet. The points will be automatically carried over to the Team Scores worksheet.</t>
  </si>
  <si>
    <t>Relays</t>
  </si>
  <si>
    <t>Team Scores</t>
  </si>
  <si>
    <t>Input</t>
  </si>
  <si>
    <t>This is the most important page - scores for each event are entered here. Please read the comments at the top of each column (denoted by a red triangle) before entering any data. If data is entered incorrectly, perhaps in the wrong format, some or all of the spreadsheet functionality may be lost.  PLEASE AVOID CUTTING AND PASTING WITHIN THIS DOCUMENT.</t>
  </si>
  <si>
    <t xml:space="preserve"> Total</t>
  </si>
  <si>
    <t xml:space="preserve"> Disability Group</t>
  </si>
  <si>
    <t>DATA INPUT</t>
  </si>
  <si>
    <t>SCORES</t>
  </si>
  <si>
    <t xml:space="preserve">Blank Scoresheets to be printed out. </t>
  </si>
  <si>
    <t>The team scores will be automatically calculated once information has been entered on the Input worksheet.</t>
  </si>
  <si>
    <t>Athlete Groupings</t>
  </si>
  <si>
    <t>1. Power Chair / Electric Wheelchair User</t>
  </si>
  <si>
    <t>2. Manual Wheelchair User</t>
  </si>
  <si>
    <t>3. Ambulant - Moderate Impairment</t>
  </si>
  <si>
    <t>4. Ambulant - Minimal Impairment</t>
  </si>
  <si>
    <t>Group</t>
  </si>
  <si>
    <t>Description</t>
  </si>
  <si>
    <t>Power Chair User</t>
  </si>
  <si>
    <t>Additional Information</t>
  </si>
  <si>
    <t>Athlete with cerebral palsy - electric wheelchair user - quadriplegic - severe to moderate involvement in all four limbs</t>
  </si>
  <si>
    <t>Manual Wheelchair user</t>
  </si>
  <si>
    <t>Athlete with cerebral palsy</t>
  </si>
  <si>
    <t>Athlete with a spinal cord injury</t>
  </si>
  <si>
    <t>Quadraplegic and paraplegic athletes</t>
  </si>
  <si>
    <t>All athletes in this group CANNOT run unaided</t>
  </si>
  <si>
    <t>They MAY be able to stand and walk with support and MIGHT not regularly use a wheelchair</t>
  </si>
  <si>
    <t>Ambulant - moderate impairment</t>
  </si>
  <si>
    <t>Athlete with cerebral palsy - Ataxic/Athetoid - affected in three or four limbs</t>
  </si>
  <si>
    <t>Athlete with cerebral palsy - Diplegic - functionally affected in both legs</t>
  </si>
  <si>
    <t>Athlete with a double above knee amputation</t>
  </si>
  <si>
    <t>Dwarf Athletes</t>
  </si>
  <si>
    <t>Blind and visually impaired athletes running with a guide</t>
  </si>
  <si>
    <t>All athletes in this group CAN run unaided EXCEPT for blind and visually impaired athletes who need the support of a guide runner</t>
  </si>
  <si>
    <t>Ambulant - minimal impairment</t>
  </si>
  <si>
    <t>Athlete who is deaf or with a hearing impairment</t>
  </si>
  <si>
    <t>Athlete with a single or double arm amputation or physical impairment allowing similar movement</t>
  </si>
  <si>
    <t>Athlete with cerebral palsy - Hemiplegic - functionally affected on one side</t>
  </si>
  <si>
    <t>Athlete with single above knee amputation or physical impairment allowing similar movement</t>
  </si>
  <si>
    <t>Athlete with single or double below keen amputation or physical impairment allowing similar movement</t>
  </si>
  <si>
    <t>Athlete with a learning disability - IQ of 75 or less, limited social adaptation in day to day abilities and their learning disability must be evident during 0 - 18 years</t>
  </si>
  <si>
    <t>All athletes in this group can run unaided</t>
  </si>
  <si>
    <t>Taken from England Athletics Disability Competition Guidance Document</t>
  </si>
  <si>
    <t xml:space="preserve"> Award</t>
  </si>
  <si>
    <t>Step 1</t>
  </si>
  <si>
    <t>Step 2</t>
  </si>
  <si>
    <t>Step 3</t>
  </si>
  <si>
    <t>Step 4</t>
  </si>
  <si>
    <t>Step 5</t>
  </si>
  <si>
    <t>Step 6</t>
  </si>
  <si>
    <t>Step 7</t>
  </si>
  <si>
    <t>Step 8</t>
  </si>
  <si>
    <t>Step 9</t>
  </si>
  <si>
    <t>Step 10</t>
  </si>
  <si>
    <t>Javelin</t>
  </si>
  <si>
    <t>Powerchair</t>
  </si>
  <si>
    <t>4m tapered course with sleeping policemen. At 0m the SP are 1.20m wide at 4m the SP are 50cm wide. Distance registered where bump into SP</t>
  </si>
  <si>
    <t>Number of times you touch the SP in 20 seconds. SP 10cms either side of the front wheels.</t>
  </si>
  <si>
    <t>4 x 8m Slalom. Cones placed centrally at 2, 4 and 6m.</t>
  </si>
  <si>
    <t>Distance a size 4 football can be thrown/pushed/rolled.</t>
  </si>
  <si>
    <t>Rainbow Target Throw.</t>
  </si>
  <si>
    <t>Distance a Howler can be thrown/pushed.</t>
  </si>
  <si>
    <t>Manual Wheelchair User</t>
  </si>
  <si>
    <t>Distance a 1kg Med ball can be thrown / pushed.</t>
  </si>
  <si>
    <t>Standard event. Start at 2m.</t>
  </si>
  <si>
    <t>Distance a Howler/Mini Jav can be thrown.</t>
  </si>
  <si>
    <t>Ambulant Moderate Impairment</t>
  </si>
  <si>
    <t>Standard Event. Can jump from 0m if required.</t>
  </si>
  <si>
    <t>Mini (10cm) wedge for 20 seconds</t>
  </si>
  <si>
    <t>4 x 8m distance. Wedges 1, 4, 7 and 10 left on.</t>
  </si>
  <si>
    <t xml:space="preserve">Distance a 1kg Med ball can be thrown / pushed. </t>
  </si>
  <si>
    <t>Standard event.</t>
  </si>
  <si>
    <t>Ambulant Minimal Impairment</t>
  </si>
  <si>
    <t>Standard Event.</t>
  </si>
  <si>
    <t>4m tapered course with SP. At 0m the SP are 1.20m wide at 4m the SP are 50cm wide. Measured where bump into SP</t>
  </si>
  <si>
    <t>St. Long Jump</t>
  </si>
  <si>
    <t>Speed Bounce (20 secs)</t>
  </si>
  <si>
    <t>Hi-Stepper        (4 x 8m)</t>
  </si>
  <si>
    <t>Chest Push (1kg)</t>
  </si>
  <si>
    <t>Foam or Bull Nosed Javelin</t>
  </si>
  <si>
    <t>-</t>
  </si>
  <si>
    <t>Standing Long Jump-1-0.01</t>
  </si>
  <si>
    <t>Standing Long Jump-1-0.02</t>
  </si>
  <si>
    <t>Standing Long Jump-1-0.03</t>
  </si>
  <si>
    <t>Standing Long Jump-1-0.04</t>
  </si>
  <si>
    <t>Standing Long Jump-1-0.05</t>
  </si>
  <si>
    <t>Standing Long Jump-1-0.06</t>
  </si>
  <si>
    <t>Standing Long Jump-1-0.07</t>
  </si>
  <si>
    <t>Standing Long Jump-1-0.08</t>
  </si>
  <si>
    <t>Standing Long Jump-1-0.09</t>
  </si>
  <si>
    <t>Standing Long Jump-1-0.1</t>
  </si>
  <si>
    <t>Standing Long Jump-1-0.11</t>
  </si>
  <si>
    <t>Standing Long Jump-1-0.12</t>
  </si>
  <si>
    <t>Standing Long Jump-1-0.13</t>
  </si>
  <si>
    <t>Standing Long Jump-1-0.14</t>
  </si>
  <si>
    <t>Standing Long Jump-1-0.15</t>
  </si>
  <si>
    <t>Standing Long Jump-1-0.16</t>
  </si>
  <si>
    <t>Standing Long Jump-1-0.17</t>
  </si>
  <si>
    <t>Standing Long Jump-1-0.18</t>
  </si>
  <si>
    <t>Standing Long Jump-1-0.19</t>
  </si>
  <si>
    <t>Standing Long Jump-1-0.2</t>
  </si>
  <si>
    <t>Standing Long Jump-1-0.21</t>
  </si>
  <si>
    <t>Standing Long Jump-1-0.22</t>
  </si>
  <si>
    <t>Standing Long Jump-1-0.23</t>
  </si>
  <si>
    <t>Standing Long Jump-1-0.24</t>
  </si>
  <si>
    <t>Standing Long Jump-1-0.25</t>
  </si>
  <si>
    <t>Standing Long Jump-1-0.26</t>
  </si>
  <si>
    <t>Standing Long Jump-1-0.27</t>
  </si>
  <si>
    <t>Standing Long Jump-1-0.28</t>
  </si>
  <si>
    <t>Standing Long Jump-1-0.29</t>
  </si>
  <si>
    <t>Standing Long Jump-1-0.3</t>
  </si>
  <si>
    <t>Standing Long Jump-1-0.31</t>
  </si>
  <si>
    <t>Standing Long Jump-1-0.32</t>
  </si>
  <si>
    <t>Standing Long Jump-1-0.33</t>
  </si>
  <si>
    <t>Standing Long Jump-1-0.34</t>
  </si>
  <si>
    <t>Standing Long Jump-1-0.35</t>
  </si>
  <si>
    <t>Standing Long Jump-1-0.36</t>
  </si>
  <si>
    <t>Standing Long Jump-1-0.37</t>
  </si>
  <si>
    <t>Standing Long Jump-1-0.38</t>
  </si>
  <si>
    <t>Standing Long Jump-1-0.39</t>
  </si>
  <si>
    <t>Standing Long Jump-1-0.4</t>
  </si>
  <si>
    <t>Standing Long Jump-1-0.41</t>
  </si>
  <si>
    <t>Standing Long Jump-1-0.42</t>
  </si>
  <si>
    <t>Standing Long Jump-1-0.43</t>
  </si>
  <si>
    <t>Standing Long Jump-1-0.44</t>
  </si>
  <si>
    <t>Standing Long Jump-1-0.45</t>
  </si>
  <si>
    <t>Standing Long Jump-1-0.46</t>
  </si>
  <si>
    <t>Standing Long Jump-1-0.47</t>
  </si>
  <si>
    <t>Standing Long Jump-1-0.48</t>
  </si>
  <si>
    <t>Standing Long Jump-1-0.49</t>
  </si>
  <si>
    <t>Standing Long Jump-1-0.5</t>
  </si>
  <si>
    <t>Standing Long Jump-1-0.51</t>
  </si>
  <si>
    <t>Standing Long Jump-1-0.52</t>
  </si>
  <si>
    <t>Standing Long Jump-1-0.53</t>
  </si>
  <si>
    <t>Standing Long Jump-1-0.54</t>
  </si>
  <si>
    <t>Standing Long Jump-1-0.55</t>
  </si>
  <si>
    <t>Standing Long Jump-1-0.56</t>
  </si>
  <si>
    <t>Standing Long Jump-1-0.57</t>
  </si>
  <si>
    <t>Standing Long Jump-1-0.58</t>
  </si>
  <si>
    <t>Standing Long Jump-1-0.59</t>
  </si>
  <si>
    <t>Standing Long Jump-1-0.6</t>
  </si>
  <si>
    <t>Standing Long Jump-1-0.61</t>
  </si>
  <si>
    <t>Standing Long Jump-1-0.62</t>
  </si>
  <si>
    <t>Standing Long Jump-1-0.63</t>
  </si>
  <si>
    <t>Standing Long Jump-1-0.64</t>
  </si>
  <si>
    <t>Standing Long Jump-1-0.65</t>
  </si>
  <si>
    <t>Standing Long Jump-1-0.66</t>
  </si>
  <si>
    <t>Standing Long Jump-1-0.67</t>
  </si>
  <si>
    <t>Standing Long Jump-1-0.68</t>
  </si>
  <si>
    <t>Standing Long Jump-1-0.69</t>
  </si>
  <si>
    <t>Standing Long Jump-1-0.7</t>
  </si>
  <si>
    <t>Standing Long Jump-1-0.71</t>
  </si>
  <si>
    <t>Standing Long Jump-1-0.72</t>
  </si>
  <si>
    <t>Standing Long Jump-1-0.73</t>
  </si>
  <si>
    <t>Standing Long Jump-1-0.74</t>
  </si>
  <si>
    <t>Standing Long Jump-1-0.75</t>
  </si>
  <si>
    <t>Standing Long Jump-1-0.76</t>
  </si>
  <si>
    <t>Standing Long Jump-1-0.77</t>
  </si>
  <si>
    <t>Standing Long Jump-1-0.78</t>
  </si>
  <si>
    <t>Standing Long Jump-1-0.79</t>
  </si>
  <si>
    <t>Standing Long Jump-1-0.8</t>
  </si>
  <si>
    <t>Standing Long Jump-1-0.81</t>
  </si>
  <si>
    <t>Standing Long Jump-1-0.82</t>
  </si>
  <si>
    <t>Standing Long Jump-1-0.83</t>
  </si>
  <si>
    <t>Standing Long Jump-1-0.84</t>
  </si>
  <si>
    <t>Standing Long Jump-1-0.85</t>
  </si>
  <si>
    <t>Standing Long Jump-1-0.86</t>
  </si>
  <si>
    <t>Standing Long Jump-1-0.87</t>
  </si>
  <si>
    <t>Standing Long Jump-1-0.88</t>
  </si>
  <si>
    <t>Standing Long Jump-1-0.89</t>
  </si>
  <si>
    <t>Standing Long Jump-1-0.9</t>
  </si>
  <si>
    <t>Standing Long Jump-1-0.91</t>
  </si>
  <si>
    <t>Standing Long Jump-1-0.92</t>
  </si>
  <si>
    <t>Standing Long Jump-1-0.93</t>
  </si>
  <si>
    <t>Standing Long Jump-1-0.94</t>
  </si>
  <si>
    <t>Standing Long Jump-1-0.95</t>
  </si>
  <si>
    <t>Standing Long Jump-1-0.96</t>
  </si>
  <si>
    <t>Standing Long Jump-1-0.97</t>
  </si>
  <si>
    <t>Standing Long Jump-1-0.98</t>
  </si>
  <si>
    <t>Standing Long Jump-1-0.99</t>
  </si>
  <si>
    <t>Standing Long Jump-1-1</t>
  </si>
  <si>
    <t>Standing Long Jump-1-1.01</t>
  </si>
  <si>
    <t>Standing Long Jump-1-1.02</t>
  </si>
  <si>
    <t>Standing Long Jump-1-1.03</t>
  </si>
  <si>
    <t>Standing Long Jump-1-1.04</t>
  </si>
  <si>
    <t>Standing Long Jump-1-1.05</t>
  </si>
  <si>
    <t>Standing Long Jump-1-1.06</t>
  </si>
  <si>
    <t>Standing Long Jump-1-1.07</t>
  </si>
  <si>
    <t>Standing Long Jump-1-1.08</t>
  </si>
  <si>
    <t>Standing Long Jump-1-1.09</t>
  </si>
  <si>
    <t>Standing Long Jump-1-1.1</t>
  </si>
  <si>
    <t>Standing Long Jump-1-1.11</t>
  </si>
  <si>
    <t>Standing Long Jump-1-1.12</t>
  </si>
  <si>
    <t>Standing Long Jump-1-1.13</t>
  </si>
  <si>
    <t>Standing Long Jump-1-1.14</t>
  </si>
  <si>
    <t>Standing Long Jump-1-1.15</t>
  </si>
  <si>
    <t>Standing Long Jump-1-1.16</t>
  </si>
  <si>
    <t>Standing Long Jump-1-1.17</t>
  </si>
  <si>
    <t>Standing Long Jump-1-1.18</t>
  </si>
  <si>
    <t>Standing Long Jump-1-1.19</t>
  </si>
  <si>
    <t>Standing Long Jump-1-1.2</t>
  </si>
  <si>
    <t>Standing Long Jump-1-1.21</t>
  </si>
  <si>
    <t>Standing Long Jump-1-1.22</t>
  </si>
  <si>
    <t>Standing Long Jump-1-1.23</t>
  </si>
  <si>
    <t>Standing Long Jump-1-1.24</t>
  </si>
  <si>
    <t>Standing Long Jump-1-1.25</t>
  </si>
  <si>
    <t>Standing Long Jump-1-1.26</t>
  </si>
  <si>
    <t>Standing Long Jump-1-1.27</t>
  </si>
  <si>
    <t>Standing Long Jump-1-1.28</t>
  </si>
  <si>
    <t>Standing Long Jump-1-1.29</t>
  </si>
  <si>
    <t>Standing Long Jump-1-1.3</t>
  </si>
  <si>
    <t>Standing Long Jump-1-1.31</t>
  </si>
  <si>
    <t>Standing Long Jump-1-1.32</t>
  </si>
  <si>
    <t>Standing Long Jump-1-1.33</t>
  </si>
  <si>
    <t>Standing Long Jump-1-1.34</t>
  </si>
  <si>
    <t>Standing Long Jump-1-1.35</t>
  </si>
  <si>
    <t>Standing Long Jump-1-1.36</t>
  </si>
  <si>
    <t>Standing Long Jump-1-1.37</t>
  </si>
  <si>
    <t>Standing Long Jump-1-1.38</t>
  </si>
  <si>
    <t>Standing Long Jump-1-1.39</t>
  </si>
  <si>
    <t>Standing Long Jump-1-1.4</t>
  </si>
  <si>
    <t>Standing Long Jump-1-1.41</t>
  </si>
  <si>
    <t>Standing Long Jump-1-1.42</t>
  </si>
  <si>
    <t>Standing Long Jump-1-1.43</t>
  </si>
  <si>
    <t>Standing Long Jump-1-1.44</t>
  </si>
  <si>
    <t>Standing Long Jump-1-1.45</t>
  </si>
  <si>
    <t>Standing Long Jump-1-1.46</t>
  </si>
  <si>
    <t>Standing Long Jump-1-1.47</t>
  </si>
  <si>
    <t>Standing Long Jump-1-1.48</t>
  </si>
  <si>
    <t>Standing Long Jump-1-1.49</t>
  </si>
  <si>
    <t>Standing Long Jump-1-1.5</t>
  </si>
  <si>
    <t>Standing Long Jump-1-1.51</t>
  </si>
  <si>
    <t>Standing Long Jump-1-1.52</t>
  </si>
  <si>
    <t>Standing Long Jump-1-1.53</t>
  </si>
  <si>
    <t>Standing Long Jump-1-1.54</t>
  </si>
  <si>
    <t>Standing Long Jump-1-1.55</t>
  </si>
  <si>
    <t>Standing Long Jump-1-1.56</t>
  </si>
  <si>
    <t>Standing Long Jump-1-1.57</t>
  </si>
  <si>
    <t>Standing Long Jump-1-1.58</t>
  </si>
  <si>
    <t>Standing Long Jump-1-1.59</t>
  </si>
  <si>
    <t>Standing Long Jump-1-1.6</t>
  </si>
  <si>
    <t>Standing Long Jump-1-1.61</t>
  </si>
  <si>
    <t>Standing Long Jump-1-1.62</t>
  </si>
  <si>
    <t>Standing Long Jump-1-1.63</t>
  </si>
  <si>
    <t>Standing Long Jump-1-1.64</t>
  </si>
  <si>
    <t>Standing Long Jump-1-1.65</t>
  </si>
  <si>
    <t>Standing Long Jump-1-1.66</t>
  </si>
  <si>
    <t>Standing Long Jump-1-1.67</t>
  </si>
  <si>
    <t>Standing Long Jump-1-1.68</t>
  </si>
  <si>
    <t>Standing Long Jump-1-1.69</t>
  </si>
  <si>
    <t>Standing Long Jump-1-1.7</t>
  </si>
  <si>
    <t>Standing Long Jump-1-1.71</t>
  </si>
  <si>
    <t>Standing Long Jump-1-1.72</t>
  </si>
  <si>
    <t>Standing Long Jump-1-1.73</t>
  </si>
  <si>
    <t>Standing Long Jump-1-1.74</t>
  </si>
  <si>
    <t>Standing Long Jump-1-1.75</t>
  </si>
  <si>
    <t>Standing Long Jump-1-1.76</t>
  </si>
  <si>
    <t>Standing Long Jump-1-1.77</t>
  </si>
  <si>
    <t>Standing Long Jump-1-1.78</t>
  </si>
  <si>
    <t>Standing Long Jump-1-1.79</t>
  </si>
  <si>
    <t>Standing Long Jump-1-1.8</t>
  </si>
  <si>
    <t>Standing Long Jump-1-1.81</t>
  </si>
  <si>
    <t>Standing Long Jump-1-1.82</t>
  </si>
  <si>
    <t>Standing Long Jump-1-1.83</t>
  </si>
  <si>
    <t>Standing Long Jump-1-1.84</t>
  </si>
  <si>
    <t>Standing Long Jump-1-1.85</t>
  </si>
  <si>
    <t>Standing Long Jump-1-1.86</t>
  </si>
  <si>
    <t>Standing Long Jump-1-1.87</t>
  </si>
  <si>
    <t>Standing Long Jump-1-1.88</t>
  </si>
  <si>
    <t>Standing Long Jump-1-1.89</t>
  </si>
  <si>
    <t>Standing Long Jump-1-1.9</t>
  </si>
  <si>
    <t>Standing Long Jump-1-1.91</t>
  </si>
  <si>
    <t>Standing Long Jump-1-1.92</t>
  </si>
  <si>
    <t>Standing Long Jump-1-1.93</t>
  </si>
  <si>
    <t>Standing Long Jump-1-1.94</t>
  </si>
  <si>
    <t>Standing Long Jump-1-1.95</t>
  </si>
  <si>
    <t>Standing Long Jump-1-1.96</t>
  </si>
  <si>
    <t>Standing Long Jump-1-1.97</t>
  </si>
  <si>
    <t>Standing Long Jump-1-1.98</t>
  </si>
  <si>
    <t>Standing Long Jump-1-1.99</t>
  </si>
  <si>
    <t>Standing Long Jump-1-2</t>
  </si>
  <si>
    <t>Standing Long Jump-1-2.01</t>
  </si>
  <si>
    <t>Standing Long Jump-1-2.02</t>
  </si>
  <si>
    <t>Standing Long Jump-1-2.03</t>
  </si>
  <si>
    <t>Standing Long Jump-1-2.04</t>
  </si>
  <si>
    <t>Standing Long Jump-1-2.05</t>
  </si>
  <si>
    <t>Standing Long Jump-1-2.06</t>
  </si>
  <si>
    <t>Standing Long Jump-1-2.07</t>
  </si>
  <si>
    <t>Standing Long Jump-1-2.08</t>
  </si>
  <si>
    <t>Standing Long Jump-1-2.09</t>
  </si>
  <si>
    <t>Standing Long Jump-1-2.1</t>
  </si>
  <si>
    <t>Standing Long Jump-1-2.11</t>
  </si>
  <si>
    <t>Standing Long Jump-1-2.12</t>
  </si>
  <si>
    <t>Standing Long Jump-1-2.13</t>
  </si>
  <si>
    <t>Standing Long Jump-1-2.14</t>
  </si>
  <si>
    <t>Standing Long Jump-1-2.15</t>
  </si>
  <si>
    <t>Standing Long Jump-1-2.16</t>
  </si>
  <si>
    <t>Standing Long Jump-1-2.17</t>
  </si>
  <si>
    <t>Standing Long Jump-1-2.18</t>
  </si>
  <si>
    <t>Standing Long Jump-1-2.19</t>
  </si>
  <si>
    <t>Standing Long Jump-1-2.2</t>
  </si>
  <si>
    <t>Standing Long Jump-1-2.21</t>
  </si>
  <si>
    <t>Standing Long Jump-1-2.22</t>
  </si>
  <si>
    <t>Standing Long Jump-1-2.23</t>
  </si>
  <si>
    <t>Standing Long Jump-1-2.24</t>
  </si>
  <si>
    <t>Standing Long Jump-1-2.25</t>
  </si>
  <si>
    <t>Standing Long Jump-1-2.26</t>
  </si>
  <si>
    <t>Standing Long Jump-1-2.27</t>
  </si>
  <si>
    <t>Standing Long Jump-1-2.28</t>
  </si>
  <si>
    <t>Standing Long Jump-1-2.29</t>
  </si>
  <si>
    <t>Standing Long Jump-1-2.3</t>
  </si>
  <si>
    <t>Standing Long Jump-1-2.31</t>
  </si>
  <si>
    <t>Standing Long Jump-1-2.32</t>
  </si>
  <si>
    <t>Standing Long Jump-1-2.33</t>
  </si>
  <si>
    <t>Standing Long Jump-1-2.34</t>
  </si>
  <si>
    <t>Standing Long Jump-1-2.35</t>
  </si>
  <si>
    <t>Standing Long Jump-1-2.36</t>
  </si>
  <si>
    <t>Standing Long Jump-1-2.37</t>
  </si>
  <si>
    <t>Standing Long Jump-1-2.38</t>
  </si>
  <si>
    <t>Standing Long Jump-1-2.39</t>
  </si>
  <si>
    <t>Standing Long Jump-1-2.4</t>
  </si>
  <si>
    <t>Standing Long Jump-1-2.41</t>
  </si>
  <si>
    <t>Standing Long Jump-1-2.42</t>
  </si>
  <si>
    <t>Standing Long Jump-1-2.43</t>
  </si>
  <si>
    <t>Standing Long Jump-1-2.44</t>
  </si>
  <si>
    <t>Standing Long Jump-1-2.45</t>
  </si>
  <si>
    <t>Standing Long Jump-1-2.46</t>
  </si>
  <si>
    <t>Standing Long Jump-1-2.47</t>
  </si>
  <si>
    <t>Standing Long Jump-1-2.48</t>
  </si>
  <si>
    <t>Standing Long Jump-1-2.49</t>
  </si>
  <si>
    <t>Standing Long Jump-1-2.5</t>
  </si>
  <si>
    <t>Standing Long Jump-1-2.51</t>
  </si>
  <si>
    <t>Standing Long Jump-1-2.52</t>
  </si>
  <si>
    <t>Standing Long Jump-1-2.53</t>
  </si>
  <si>
    <t>Standing Long Jump-1-2.54</t>
  </si>
  <si>
    <t>Standing Long Jump-1-2.55</t>
  </si>
  <si>
    <t>Standing Long Jump-1-2.56</t>
  </si>
  <si>
    <t>Standing Long Jump-1-2.57</t>
  </si>
  <si>
    <t>Standing Long Jump-1-2.58</t>
  </si>
  <si>
    <t>Standing Long Jump-1-2.59</t>
  </si>
  <si>
    <t>Standing Long Jump-1-2.6</t>
  </si>
  <si>
    <t>Standing Long Jump-1-2.61</t>
  </si>
  <si>
    <t>Standing Long Jump-1-2.62</t>
  </si>
  <si>
    <t>Standing Long Jump-1-2.63</t>
  </si>
  <si>
    <t>Standing Long Jump-1-2.64</t>
  </si>
  <si>
    <t>Standing Long Jump-1-2.65</t>
  </si>
  <si>
    <t>Standing Long Jump-1-2.66</t>
  </si>
  <si>
    <t>Standing Long Jump-1-2.67</t>
  </si>
  <si>
    <t>Standing Long Jump-1-2.68</t>
  </si>
  <si>
    <t>Standing Long Jump-1-2.69</t>
  </si>
  <si>
    <t>Standing Long Jump-1-2.7</t>
  </si>
  <si>
    <t>Standing Long Jump-1-2.71</t>
  </si>
  <si>
    <t>Standing Long Jump-1-2.72</t>
  </si>
  <si>
    <t>Standing Long Jump-1-2.73</t>
  </si>
  <si>
    <t>Standing Long Jump-1-2.74</t>
  </si>
  <si>
    <t>Standing Long Jump-1-2.75</t>
  </si>
  <si>
    <t>Standing Long Jump-1-2.76</t>
  </si>
  <si>
    <t>Standing Long Jump-1-2.77</t>
  </si>
  <si>
    <t>Standing Long Jump-1-2.78</t>
  </si>
  <si>
    <t>Standing Long Jump-1-2.79</t>
  </si>
  <si>
    <t>Standing Long Jump-1-2.8</t>
  </si>
  <si>
    <t>Standing Long Jump-1-2.81</t>
  </si>
  <si>
    <t>Standing Long Jump-1-2.82</t>
  </si>
  <si>
    <t>Standing Long Jump-1-2.83</t>
  </si>
  <si>
    <t>Standing Long Jump-1-2.84</t>
  </si>
  <si>
    <t>Standing Long Jump-1-2.85</t>
  </si>
  <si>
    <t>Standing Long Jump-1-2.86</t>
  </si>
  <si>
    <t>Standing Long Jump-1-2.87</t>
  </si>
  <si>
    <t>Standing Long Jump-1-2.88</t>
  </si>
  <si>
    <t>Standing Long Jump-1-2.89</t>
  </si>
  <si>
    <t>Standing Long Jump-1-2.91</t>
  </si>
  <si>
    <t>Standing Long Jump-1-2.92</t>
  </si>
  <si>
    <t>Standing Long Jump-1-2.93</t>
  </si>
  <si>
    <t>Standing Long Jump-1-2.94</t>
  </si>
  <si>
    <t>Standing Long Jump-1-2.95</t>
  </si>
  <si>
    <t>Standing Long Jump-1-2.96</t>
  </si>
  <si>
    <t>Standing Long Jump-1-2.97</t>
  </si>
  <si>
    <t>Standing Long Jump-1-2.98</t>
  </si>
  <si>
    <t>Standing Long Jump-1-2.99</t>
  </si>
  <si>
    <t>Standing Long Jump-1-3.01</t>
  </si>
  <si>
    <t>Standing Long Jump-1-3.02</t>
  </si>
  <si>
    <t>Standing Long Jump-1-3.03</t>
  </si>
  <si>
    <t>Standing Long Jump-1-3.04</t>
  </si>
  <si>
    <t>Standing Long Jump-1-3.05</t>
  </si>
  <si>
    <t>Standing Long Jump-1-3.06</t>
  </si>
  <si>
    <t>Standing Long Jump-1-3.07</t>
  </si>
  <si>
    <t>Standing Long Jump-1-3.08</t>
  </si>
  <si>
    <t>Standing Long Jump-1-3.09</t>
  </si>
  <si>
    <t>Standing Long Jump-1-3.11</t>
  </si>
  <si>
    <t>Standing Long Jump-1-3.12</t>
  </si>
  <si>
    <t>Standing Long Jump-1-3.13</t>
  </si>
  <si>
    <t>Standing Long Jump-1-3.14</t>
  </si>
  <si>
    <t>Standing Long Jump-1-3.15</t>
  </si>
  <si>
    <t>Standing Long Jump-1-3.16</t>
  </si>
  <si>
    <t>Standing Long Jump-1-3.17</t>
  </si>
  <si>
    <t>Standing Long Jump-1-3.18</t>
  </si>
  <si>
    <t>Standing Long Jump-1-3.19</t>
  </si>
  <si>
    <t>Standing Long Jump-1-3.21</t>
  </si>
  <si>
    <t>Standing Long Jump-1-3.22</t>
  </si>
  <si>
    <t>Standing Long Jump-1-3.23</t>
  </si>
  <si>
    <t>Standing Long Jump-1-3.24</t>
  </si>
  <si>
    <t>Standing Long Jump-1-3.25</t>
  </si>
  <si>
    <t>Standing Long Jump-1-3.26</t>
  </si>
  <si>
    <t>Standing Long Jump-1-3.27</t>
  </si>
  <si>
    <t>Standing Long Jump-1-3.28</t>
  </si>
  <si>
    <t>Standing Long Jump-1-3.29</t>
  </si>
  <si>
    <t>Standing Long Jump-1-3.31</t>
  </si>
  <si>
    <t>Standing Long Jump-1-3.32</t>
  </si>
  <si>
    <t>Standing Long Jump-1-3.33</t>
  </si>
  <si>
    <t>Standing Long Jump-1-3.34</t>
  </si>
  <si>
    <t>Standing Long Jump-1-3.35</t>
  </si>
  <si>
    <t>Standing Long Jump-1-3.36</t>
  </si>
  <si>
    <t>Standing Long Jump-1-3.37</t>
  </si>
  <si>
    <t>Standing Long Jump-1-3.38</t>
  </si>
  <si>
    <t>Standing Long Jump-1-3.39</t>
  </si>
  <si>
    <t>Standing Long Jump-1-3.41</t>
  </si>
  <si>
    <t>Standing Long Jump-1-3.42</t>
  </si>
  <si>
    <t>Standing Long Jump-1-3.43</t>
  </si>
  <si>
    <t>Standing Long Jump-1-3.44</t>
  </si>
  <si>
    <t>Standing Long Jump-1-3.45</t>
  </si>
  <si>
    <t>Standing Long Jump-1-3.46</t>
  </si>
  <si>
    <t>Standing Long Jump-1-3.47</t>
  </si>
  <si>
    <t>Standing Long Jump-1-3.48</t>
  </si>
  <si>
    <t>Standing Long Jump-1-3.49</t>
  </si>
  <si>
    <t>Standing Long Jump-1-3.51</t>
  </si>
  <si>
    <t>Standing Long Jump-1-3.52</t>
  </si>
  <si>
    <t>Standing Long Jump-1-3.53</t>
  </si>
  <si>
    <t>Standing Long Jump-1-3.54</t>
  </si>
  <si>
    <t>Standing Long Jump-1-3.55</t>
  </si>
  <si>
    <t>Standing Long Jump-1-3.56</t>
  </si>
  <si>
    <t>Standing Long Jump-1-3.57</t>
  </si>
  <si>
    <t>Standing Long Jump-1-3.58</t>
  </si>
  <si>
    <t>Standing Long Jump-1-3.59</t>
  </si>
  <si>
    <t>Standing Long Jump-1-3.61</t>
  </si>
  <si>
    <t>Standing Long Jump-1-3.62</t>
  </si>
  <si>
    <t>Standing Long Jump-1-3.63</t>
  </si>
  <si>
    <t>Standing Long Jump-1-3.64</t>
  </si>
  <si>
    <t>Standing Long Jump-1-3.65</t>
  </si>
  <si>
    <t>Standing Long Jump-1-3.66</t>
  </si>
  <si>
    <t>Standing Long Jump-1-3.67</t>
  </si>
  <si>
    <t>Standing Long Jump-1-3.68</t>
  </si>
  <si>
    <t>Standing Long Jump-1-3.69</t>
  </si>
  <si>
    <t>Standing Long Jump-1-3.71</t>
  </si>
  <si>
    <t>Standing Long Jump-1-3.72</t>
  </si>
  <si>
    <t>Standing Long Jump-1-3.73</t>
  </si>
  <si>
    <t>Standing Long Jump-1-3.74</t>
  </si>
  <si>
    <t>Standing Long Jump-1-3.75</t>
  </si>
  <si>
    <t>Standing Long Jump-1-3.76</t>
  </si>
  <si>
    <t>Standing Long Jump-1-3.77</t>
  </si>
  <si>
    <t>Standing Long Jump-1-3.78</t>
  </si>
  <si>
    <t>Standing Long Jump-1-3.79</t>
  </si>
  <si>
    <t>Standing Long Jump-1-3.81</t>
  </si>
  <si>
    <t>Standing Long Jump-1-3.82</t>
  </si>
  <si>
    <t>Standing Long Jump-1-3.83</t>
  </si>
  <si>
    <t>Standing Long Jump-1-3.84</t>
  </si>
  <si>
    <t>Standing Long Jump-1-3.85</t>
  </si>
  <si>
    <t>Standing Long Jump-1-3.86</t>
  </si>
  <si>
    <t>Standing Long Jump-1-3.87</t>
  </si>
  <si>
    <t>Standing Long Jump-1-3.88</t>
  </si>
  <si>
    <t>Standing Long Jump-1-3.89</t>
  </si>
  <si>
    <t>Standing Long Jump-1-3.91</t>
  </si>
  <si>
    <t>Standing Long Jump-1-3.92</t>
  </si>
  <si>
    <t>Standing Long Jump-1-3.93</t>
  </si>
  <si>
    <t>Standing Long Jump-1-3.94</t>
  </si>
  <si>
    <t>Standing Long Jump-1-3.95</t>
  </si>
  <si>
    <t>Standing Long Jump-1-3.96</t>
  </si>
  <si>
    <t>Standing Long Jump-1-3.97</t>
  </si>
  <si>
    <t>Standing Long Jump-1-3.98</t>
  </si>
  <si>
    <t>Standing Long Jump-1-3.99</t>
  </si>
  <si>
    <t>Standing Long Jump-2-0.01</t>
  </si>
  <si>
    <t>Standing Long Jump-2-0.02</t>
  </si>
  <si>
    <t>Standing Long Jump-2-0.03</t>
  </si>
  <si>
    <t>Standing Long Jump-2-0.04</t>
  </si>
  <si>
    <t>Standing Long Jump-2-0.05</t>
  </si>
  <si>
    <t>Standing Long Jump-2-0.06</t>
  </si>
  <si>
    <t>Standing Long Jump-2-0.07</t>
  </si>
  <si>
    <t>Standing Long Jump-2-0.08</t>
  </si>
  <si>
    <t>Standing Long Jump-2-0.09</t>
  </si>
  <si>
    <t>Standing Long Jump-2-0.1</t>
  </si>
  <si>
    <t>Standing Long Jump-2-0.11</t>
  </si>
  <si>
    <t>Standing Long Jump-2-0.12</t>
  </si>
  <si>
    <t>Standing Long Jump-2-0.13</t>
  </si>
  <si>
    <t>Standing Long Jump-2-0.14</t>
  </si>
  <si>
    <t>Standing Long Jump-2-0.15</t>
  </si>
  <si>
    <t>Standing Long Jump-2-0.16</t>
  </si>
  <si>
    <t>Standing Long Jump-2-0.17</t>
  </si>
  <si>
    <t>Standing Long Jump-2-0.18</t>
  </si>
  <si>
    <t>Standing Long Jump-2-0.19</t>
  </si>
  <si>
    <t>Standing Long Jump-2-0.2</t>
  </si>
  <si>
    <t>Standing Long Jump-2-0.21</t>
  </si>
  <si>
    <t>Standing Long Jump-2-0.22</t>
  </si>
  <si>
    <t>Standing Long Jump-2-0.23</t>
  </si>
  <si>
    <t>Standing Long Jump-2-0.24</t>
  </si>
  <si>
    <t>Standing Long Jump-2-0.25</t>
  </si>
  <si>
    <t>Standing Long Jump-2-0.26</t>
  </si>
  <si>
    <t>Standing Long Jump-2-0.27</t>
  </si>
  <si>
    <t>Standing Long Jump-2-0.28</t>
  </si>
  <si>
    <t>Standing Long Jump-2-0.29</t>
  </si>
  <si>
    <t>Standing Long Jump-2-0.3</t>
  </si>
  <si>
    <t>Standing Long Jump-2-0.31</t>
  </si>
  <si>
    <t>Standing Long Jump-2-0.32</t>
  </si>
  <si>
    <t>Standing Long Jump-2-0.33</t>
  </si>
  <si>
    <t>Standing Long Jump-2-0.34</t>
  </si>
  <si>
    <t>Standing Long Jump-2-0.35</t>
  </si>
  <si>
    <t>Standing Long Jump-2-0.36</t>
  </si>
  <si>
    <t>Standing Long Jump-2-0.37</t>
  </si>
  <si>
    <t>Standing Long Jump-2-0.38</t>
  </si>
  <si>
    <t>Standing Long Jump-2-0.39</t>
  </si>
  <si>
    <t>Standing Long Jump-2-0.4</t>
  </si>
  <si>
    <t>Standing Long Jump-2-0.41</t>
  </si>
  <si>
    <t>Standing Long Jump-2-0.42</t>
  </si>
  <si>
    <t>Standing Long Jump-2-0.43</t>
  </si>
  <si>
    <t>Standing Long Jump-2-0.44</t>
  </si>
  <si>
    <t>Standing Long Jump-2-0.45</t>
  </si>
  <si>
    <t>Standing Long Jump-2-0.46</t>
  </si>
  <si>
    <t>Standing Long Jump-2-0.47</t>
  </si>
  <si>
    <t>Standing Long Jump-2-0.48</t>
  </si>
  <si>
    <t>Standing Long Jump-2-0.49</t>
  </si>
  <si>
    <t>Standing Long Jump-2-0.5</t>
  </si>
  <si>
    <t>Standing Long Jump-2-0.51</t>
  </si>
  <si>
    <t>Standing Long Jump-2-0.52</t>
  </si>
  <si>
    <t>Standing Long Jump-2-0.53</t>
  </si>
  <si>
    <t>Standing Long Jump-2-0.54</t>
  </si>
  <si>
    <t>Standing Long Jump-2-0.55</t>
  </si>
  <si>
    <t>Standing Long Jump-2-0.56</t>
  </si>
  <si>
    <t>Standing Long Jump-2-0.57</t>
  </si>
  <si>
    <t>Standing Long Jump-2-0.58</t>
  </si>
  <si>
    <t>Standing Long Jump-2-0.59</t>
  </si>
  <si>
    <t>Standing Long Jump-2-0.6</t>
  </si>
  <si>
    <t>Standing Long Jump-2-0.61</t>
  </si>
  <si>
    <t>Standing Long Jump-2-0.62</t>
  </si>
  <si>
    <t>Standing Long Jump-2-0.63</t>
  </si>
  <si>
    <t>Standing Long Jump-2-0.64</t>
  </si>
  <si>
    <t>Standing Long Jump-2-0.65</t>
  </si>
  <si>
    <t>Standing Long Jump-2-0.66</t>
  </si>
  <si>
    <t>Standing Long Jump-2-0.67</t>
  </si>
  <si>
    <t>Standing Long Jump-2-0.68</t>
  </si>
  <si>
    <t>Standing Long Jump-2-0.69</t>
  </si>
  <si>
    <t>Standing Long Jump-2-0.7</t>
  </si>
  <si>
    <t>Standing Long Jump-2-0.71</t>
  </si>
  <si>
    <t>Standing Long Jump-2-0.72</t>
  </si>
  <si>
    <t>Standing Long Jump-2-0.73</t>
  </si>
  <si>
    <t>Standing Long Jump-2-0.74</t>
  </si>
  <si>
    <t>Standing Long Jump-2-0.75</t>
  </si>
  <si>
    <t>Standing Long Jump-2-0.76</t>
  </si>
  <si>
    <t>Standing Long Jump-2-0.77</t>
  </si>
  <si>
    <t>Standing Long Jump-2-0.78</t>
  </si>
  <si>
    <t>Standing Long Jump-2-0.79</t>
  </si>
  <si>
    <t>Standing Long Jump-2-0.8</t>
  </si>
  <si>
    <t>Standing Long Jump-2-0.81</t>
  </si>
  <si>
    <t>Standing Long Jump-2-0.82</t>
  </si>
  <si>
    <t>Standing Long Jump-2-0.83</t>
  </si>
  <si>
    <t>Standing Long Jump-2-0.84</t>
  </si>
  <si>
    <t>Standing Long Jump-2-0.85</t>
  </si>
  <si>
    <t>Standing Long Jump-2-0.86</t>
  </si>
  <si>
    <t>Standing Long Jump-2-0.87</t>
  </si>
  <si>
    <t>Standing Long Jump-2-0.88</t>
  </si>
  <si>
    <t>Standing Long Jump-2-0.89</t>
  </si>
  <si>
    <t>Standing Long Jump-2-0.9</t>
  </si>
  <si>
    <t>Standing Long Jump-2-0.91</t>
  </si>
  <si>
    <t>Standing Long Jump-2-0.92</t>
  </si>
  <si>
    <t>Standing Long Jump-2-0.93</t>
  </si>
  <si>
    <t>Standing Long Jump-2-0.94</t>
  </si>
  <si>
    <t>Standing Long Jump-2-0.95</t>
  </si>
  <si>
    <t>Standing Long Jump-2-0.96</t>
  </si>
  <si>
    <t>Standing Long Jump-2-0.97</t>
  </si>
  <si>
    <t>Standing Long Jump-2-0.98</t>
  </si>
  <si>
    <t>Standing Long Jump-2-0.99</t>
  </si>
  <si>
    <t>Standing Long Jump-2-1</t>
  </si>
  <si>
    <t>Standing Long Jump-2-1.01</t>
  </si>
  <si>
    <t>Standing Long Jump-2-1.02</t>
  </si>
  <si>
    <t>Standing Long Jump-2-1.03</t>
  </si>
  <si>
    <t>Standing Long Jump-2-1.04</t>
  </si>
  <si>
    <t>Standing Long Jump-2-1.05</t>
  </si>
  <si>
    <t>Standing Long Jump-2-1.06</t>
  </si>
  <si>
    <t>Standing Long Jump-2-1.07</t>
  </si>
  <si>
    <t>Standing Long Jump-2-1.08</t>
  </si>
  <si>
    <t>Standing Long Jump-2-1.09</t>
  </si>
  <si>
    <t>Standing Long Jump-2-1.1</t>
  </si>
  <si>
    <t>Standing Long Jump-2-1.11</t>
  </si>
  <si>
    <t>Standing Long Jump-2-1.12</t>
  </si>
  <si>
    <t>Standing Long Jump-2-1.13</t>
  </si>
  <si>
    <t>Standing Long Jump-2-1.14</t>
  </si>
  <si>
    <t>Standing Long Jump-2-1.15</t>
  </si>
  <si>
    <t>Standing Long Jump-2-1.16</t>
  </si>
  <si>
    <t>Standing Long Jump-2-1.17</t>
  </si>
  <si>
    <t>Standing Long Jump-2-1.18</t>
  </si>
  <si>
    <t>Standing Long Jump-2-1.19</t>
  </si>
  <si>
    <t>Standing Long Jump-2-1.2</t>
  </si>
  <si>
    <t>Standing Long Jump-2-1.21</t>
  </si>
  <si>
    <t>Standing Long Jump-2-1.22</t>
  </si>
  <si>
    <t>Standing Long Jump-2-1.23</t>
  </si>
  <si>
    <t>Standing Long Jump-2-1.24</t>
  </si>
  <si>
    <t>Standing Long Jump-2-1.25</t>
  </si>
  <si>
    <t>Standing Long Jump-2-1.26</t>
  </si>
  <si>
    <t>Standing Long Jump-2-1.27</t>
  </si>
  <si>
    <t>Standing Long Jump-2-1.28</t>
  </si>
  <si>
    <t>Standing Long Jump-2-1.29</t>
  </si>
  <si>
    <t>Standing Long Jump-2-1.3</t>
  </si>
  <si>
    <t>Standing Long Jump-2-1.31</t>
  </si>
  <si>
    <t>Standing Long Jump-2-1.32</t>
  </si>
  <si>
    <t>Standing Long Jump-2-1.33</t>
  </si>
  <si>
    <t>Standing Long Jump-2-1.34</t>
  </si>
  <si>
    <t>Standing Long Jump-2-1.35</t>
  </si>
  <si>
    <t>Standing Long Jump-2-1.36</t>
  </si>
  <si>
    <t>Standing Long Jump-2-1.37</t>
  </si>
  <si>
    <t>Standing Long Jump-2-1.38</t>
  </si>
  <si>
    <t>Standing Long Jump-2-1.39</t>
  </si>
  <si>
    <t>Standing Long Jump-2-1.4</t>
  </si>
  <si>
    <t>Standing Long Jump-2-1.41</t>
  </si>
  <si>
    <t>Standing Long Jump-2-1.42</t>
  </si>
  <si>
    <t>Standing Long Jump-2-1.43</t>
  </si>
  <si>
    <t>Standing Long Jump-2-1.44</t>
  </si>
  <si>
    <t>Standing Long Jump-2-1.45</t>
  </si>
  <si>
    <t>Standing Long Jump-2-1.46</t>
  </si>
  <si>
    <t>Standing Long Jump-2-1.47</t>
  </si>
  <si>
    <t>Standing Long Jump-2-1.48</t>
  </si>
  <si>
    <t>Standing Long Jump-2-1.49</t>
  </si>
  <si>
    <t>Standing Long Jump-2-1.5</t>
  </si>
  <si>
    <t>Standing Long Jump-2-1.51</t>
  </si>
  <si>
    <t>Standing Long Jump-2-1.52</t>
  </si>
  <si>
    <t>Standing Long Jump-2-1.53</t>
  </si>
  <si>
    <t>Standing Long Jump-2-1.54</t>
  </si>
  <si>
    <t>Standing Long Jump-2-1.55</t>
  </si>
  <si>
    <t>Standing Long Jump-2-1.56</t>
  </si>
  <si>
    <t>Standing Long Jump-2-1.57</t>
  </si>
  <si>
    <t>Standing Long Jump-2-1.58</t>
  </si>
  <si>
    <t>Standing Long Jump-2-1.59</t>
  </si>
  <si>
    <t>Standing Long Jump-2-1.6</t>
  </si>
  <si>
    <t>Standing Long Jump-2-1.61</t>
  </si>
  <si>
    <t>Standing Long Jump-2-1.62</t>
  </si>
  <si>
    <t>Standing Long Jump-2-1.63</t>
  </si>
  <si>
    <t>Standing Long Jump-2-1.64</t>
  </si>
  <si>
    <t>Standing Long Jump-2-1.65</t>
  </si>
  <si>
    <t>Standing Long Jump-2-1.66</t>
  </si>
  <si>
    <t>Standing Long Jump-2-1.67</t>
  </si>
  <si>
    <t>Standing Long Jump-2-1.68</t>
  </si>
  <si>
    <t>Standing Long Jump-2-1.69</t>
  </si>
  <si>
    <t>Standing Long Jump-2-1.7</t>
  </si>
  <si>
    <t>Standing Long Jump-2-1.71</t>
  </si>
  <si>
    <t>Standing Long Jump-2-1.72</t>
  </si>
  <si>
    <t>Standing Long Jump-2-1.73</t>
  </si>
  <si>
    <t>Standing Long Jump-2-1.74</t>
  </si>
  <si>
    <t>Standing Long Jump-2-1.75</t>
  </si>
  <si>
    <t>Standing Long Jump-2-1.76</t>
  </si>
  <si>
    <t>Standing Long Jump-2-1.77</t>
  </si>
  <si>
    <t>Standing Long Jump-2-1.78</t>
  </si>
  <si>
    <t>Standing Long Jump-2-1.79</t>
  </si>
  <si>
    <t>Standing Long Jump-2-1.8</t>
  </si>
  <si>
    <t>Standing Long Jump-2-1.81</t>
  </si>
  <si>
    <t>Standing Long Jump-2-1.82</t>
  </si>
  <si>
    <t>Standing Long Jump-2-1.83</t>
  </si>
  <si>
    <t>Standing Long Jump-2-1.84</t>
  </si>
  <si>
    <t>Standing Long Jump-2-1.85</t>
  </si>
  <si>
    <t>Standing Long Jump-2-1.86</t>
  </si>
  <si>
    <t>Standing Long Jump-2-1.87</t>
  </si>
  <si>
    <t>Standing Long Jump-2-1.88</t>
  </si>
  <si>
    <t>Standing Long Jump-2-1.89</t>
  </si>
  <si>
    <t>Standing Long Jump-2-1.9</t>
  </si>
  <si>
    <t>Standing Long Jump-2-1.91</t>
  </si>
  <si>
    <t>Standing Long Jump-2-1.92</t>
  </si>
  <si>
    <t>Standing Long Jump-2-1.93</t>
  </si>
  <si>
    <t>Standing Long Jump-2-1.94</t>
  </si>
  <si>
    <t>Standing Long Jump-2-1.95</t>
  </si>
  <si>
    <t>Standing Long Jump-2-1.96</t>
  </si>
  <si>
    <t>Standing Long Jump-2-1.97</t>
  </si>
  <si>
    <t>Standing Long Jump-2-1.98</t>
  </si>
  <si>
    <t>Standing Long Jump-2-1.99</t>
  </si>
  <si>
    <t>Standing Long Jump-2-2</t>
  </si>
  <si>
    <t>Standing Long Jump-2-2.01</t>
  </si>
  <si>
    <t>Standing Long Jump-2-2.02</t>
  </si>
  <si>
    <t>Standing Long Jump-2-2.03</t>
  </si>
  <si>
    <t>Standing Long Jump-2-2.04</t>
  </si>
  <si>
    <t>Standing Long Jump-2-2.05</t>
  </si>
  <si>
    <t>Standing Long Jump-2-2.06</t>
  </si>
  <si>
    <t>Standing Long Jump-2-2.07</t>
  </si>
  <si>
    <t>Standing Long Jump-2-2.08</t>
  </si>
  <si>
    <t>Standing Long Jump-2-2.09</t>
  </si>
  <si>
    <t>Standing Long Jump-2-2.1</t>
  </si>
  <si>
    <t>Standing Long Jump-2-2.11</t>
  </si>
  <si>
    <t>Standing Long Jump-2-2.12</t>
  </si>
  <si>
    <t>Standing Long Jump-2-2.13</t>
  </si>
  <si>
    <t>Standing Long Jump-2-2.14</t>
  </si>
  <si>
    <t>Standing Long Jump-2-2.15</t>
  </si>
  <si>
    <t>Standing Long Jump-2-2.16</t>
  </si>
  <si>
    <t>Standing Long Jump-2-2.17</t>
  </si>
  <si>
    <t>Standing Long Jump-2-2.18</t>
  </si>
  <si>
    <t>Standing Long Jump-2-2.19</t>
  </si>
  <si>
    <t>Standing Long Jump-2-2.2</t>
  </si>
  <si>
    <t>Standing Long Jump-2-2.21</t>
  </si>
  <si>
    <t>Standing Long Jump-2-2.22</t>
  </si>
  <si>
    <t>Standing Long Jump-2-2.23</t>
  </si>
  <si>
    <t>Standing Long Jump-2-2.24</t>
  </si>
  <si>
    <t>Standing Long Jump-2-2.25</t>
  </si>
  <si>
    <t>Standing Long Jump-2-2.26</t>
  </si>
  <si>
    <t>Standing Long Jump-2-2.27</t>
  </si>
  <si>
    <t>Standing Long Jump-2-2.28</t>
  </si>
  <si>
    <t>Standing Long Jump-2-2.29</t>
  </si>
  <si>
    <t>Standing Long Jump-2-2.3</t>
  </si>
  <si>
    <t>Standing Long Jump-2-2.31</t>
  </si>
  <si>
    <t>Standing Long Jump-2-2.32</t>
  </si>
  <si>
    <t>Standing Long Jump-2-2.33</t>
  </si>
  <si>
    <t>Standing Long Jump-2-2.34</t>
  </si>
  <si>
    <t>Standing Long Jump-2-2.35</t>
  </si>
  <si>
    <t>Standing Long Jump-2-2.36</t>
  </si>
  <si>
    <t>Standing Long Jump-2-2.37</t>
  </si>
  <si>
    <t>Standing Long Jump-2-2.38</t>
  </si>
  <si>
    <t>Standing Long Jump-2-2.39</t>
  </si>
  <si>
    <t>Standing Long Jump-2-2.4</t>
  </si>
  <si>
    <t>Standing Long Jump-2-2.41</t>
  </si>
  <si>
    <t>Standing Long Jump-2-2.42</t>
  </si>
  <si>
    <t>Standing Long Jump-2-2.43</t>
  </si>
  <si>
    <t>Standing Long Jump-2-2.44</t>
  </si>
  <si>
    <t>Standing Long Jump-2-2.45</t>
  </si>
  <si>
    <t>Standing Long Jump-2-2.46</t>
  </si>
  <si>
    <t>Standing Long Jump-2-2.47</t>
  </si>
  <si>
    <t>Standing Long Jump-2-2.48</t>
  </si>
  <si>
    <t>Standing Long Jump-2-2.49</t>
  </si>
  <si>
    <t>Standing Long Jump-2-2.5</t>
  </si>
  <si>
    <t>Standing Long Jump-2-2.51</t>
  </si>
  <si>
    <t>Standing Long Jump-2-2.52</t>
  </si>
  <si>
    <t>Standing Long Jump-2-2.53</t>
  </si>
  <si>
    <t>Standing Long Jump-2-2.54</t>
  </si>
  <si>
    <t>Standing Long Jump-2-2.55</t>
  </si>
  <si>
    <t>Standing Long Jump-2-2.56</t>
  </si>
  <si>
    <t>Standing Long Jump-2-2.57</t>
  </si>
  <si>
    <t>Standing Long Jump-2-2.58</t>
  </si>
  <si>
    <t>Standing Long Jump-2-2.59</t>
  </si>
  <si>
    <t>Standing Long Jump-2-2.6</t>
  </si>
  <si>
    <t>Standing Long Jump-2-2.61</t>
  </si>
  <si>
    <t>Standing Long Jump-2-2.62</t>
  </si>
  <si>
    <t>Standing Long Jump-2-2.63</t>
  </si>
  <si>
    <t>Standing Long Jump-2-2.64</t>
  </si>
  <si>
    <t>Standing Long Jump-2-2.65</t>
  </si>
  <si>
    <t>Standing Long Jump-2-2.66</t>
  </si>
  <si>
    <t>Standing Long Jump-2-2.67</t>
  </si>
  <si>
    <t>Standing Long Jump-2-2.68</t>
  </si>
  <si>
    <t>Standing Long Jump-2-2.69</t>
  </si>
  <si>
    <t>Standing Long Jump-2-2.7</t>
  </si>
  <si>
    <t>Standing Long Jump-2-2.71</t>
  </si>
  <si>
    <t>Standing Long Jump-2-2.72</t>
  </si>
  <si>
    <t>Standing Long Jump-2-2.73</t>
  </si>
  <si>
    <t>Standing Long Jump-2-2.74</t>
  </si>
  <si>
    <t>Standing Long Jump-2-2.75</t>
  </si>
  <si>
    <t>Standing Long Jump-2-2.76</t>
  </si>
  <si>
    <t>Standing Long Jump-2-2.77</t>
  </si>
  <si>
    <t>Standing Long Jump-2-2.78</t>
  </si>
  <si>
    <t>Standing Long Jump-2-2.79</t>
  </si>
  <si>
    <t>Standing Long Jump-2-2.8</t>
  </si>
  <si>
    <t>Standing Long Jump-2-2.81</t>
  </si>
  <si>
    <t>Standing Long Jump-2-2.82</t>
  </si>
  <si>
    <t>Standing Long Jump-2-2.83</t>
  </si>
  <si>
    <t>Standing Long Jump-2-2.84</t>
  </si>
  <si>
    <t>Standing Long Jump-2-2.85</t>
  </si>
  <si>
    <t>Standing Long Jump-2-2.86</t>
  </si>
  <si>
    <t>Standing Long Jump-2-2.87</t>
  </si>
  <si>
    <t>Standing Long Jump-2-2.88</t>
  </si>
  <si>
    <t>Standing Long Jump-2-2.89</t>
  </si>
  <si>
    <t>Standing Long Jump-2-2.91</t>
  </si>
  <si>
    <t>Standing Long Jump-2-2.92</t>
  </si>
  <si>
    <t>Standing Long Jump-2-2.93</t>
  </si>
  <si>
    <t>Standing Long Jump-2-2.94</t>
  </si>
  <si>
    <t>Standing Long Jump-2-2.95</t>
  </si>
  <si>
    <t>Standing Long Jump-2-2.96</t>
  </si>
  <si>
    <t>Standing Long Jump-2-2.97</t>
  </si>
  <si>
    <t>Standing Long Jump-2-2.98</t>
  </si>
  <si>
    <t>Standing Long Jump-2-2.99</t>
  </si>
  <si>
    <t>Standing Long Jump-2-3.01</t>
  </si>
  <si>
    <t>Standing Long Jump-2-3.02</t>
  </si>
  <si>
    <t>Standing Long Jump-2-3.03</t>
  </si>
  <si>
    <t>Standing Long Jump-2-3.04</t>
  </si>
  <si>
    <t>Standing Long Jump-2-3.05</t>
  </si>
  <si>
    <t>Standing Long Jump-2-3.06</t>
  </si>
  <si>
    <t>Standing Long Jump-2-3.07</t>
  </si>
  <si>
    <t>Standing Long Jump-2-3.08</t>
  </si>
  <si>
    <t>Standing Long Jump-2-3.09</t>
  </si>
  <si>
    <t>Standing Long Jump-2-3.11</t>
  </si>
  <si>
    <t>Standing Long Jump-2-3.12</t>
  </si>
  <si>
    <t>Standing Long Jump-2-3.13</t>
  </si>
  <si>
    <t>Standing Long Jump-2-3.14</t>
  </si>
  <si>
    <t>Standing Long Jump-2-3.15</t>
  </si>
  <si>
    <t>Standing Long Jump-2-3.16</t>
  </si>
  <si>
    <t>Standing Long Jump-2-3.17</t>
  </si>
  <si>
    <t>Standing Long Jump-2-3.18</t>
  </si>
  <si>
    <t>Standing Long Jump-2-3.19</t>
  </si>
  <si>
    <t>Standing Long Jump-2-3.21</t>
  </si>
  <si>
    <t>Standing Long Jump-2-3.22</t>
  </si>
  <si>
    <t>Standing Long Jump-2-3.23</t>
  </si>
  <si>
    <t>Standing Long Jump-2-3.24</t>
  </si>
  <si>
    <t>Standing Long Jump-2-3.25</t>
  </si>
  <si>
    <t>Standing Long Jump-2-3.26</t>
  </si>
  <si>
    <t>Standing Long Jump-2-3.27</t>
  </si>
  <si>
    <t>Standing Long Jump-2-3.28</t>
  </si>
  <si>
    <t>Standing Long Jump-2-3.29</t>
  </si>
  <si>
    <t>Standing Long Jump-2-3.31</t>
  </si>
  <si>
    <t>Standing Long Jump-2-3.32</t>
  </si>
  <si>
    <t>Standing Long Jump-2-3.33</t>
  </si>
  <si>
    <t>Standing Long Jump-2-3.34</t>
  </si>
  <si>
    <t>Standing Long Jump-2-3.35</t>
  </si>
  <si>
    <t>Standing Long Jump-2-3.36</t>
  </si>
  <si>
    <t>Standing Long Jump-2-3.37</t>
  </si>
  <si>
    <t>Standing Long Jump-2-3.38</t>
  </si>
  <si>
    <t>Standing Long Jump-2-3.39</t>
  </si>
  <si>
    <t>Standing Long Jump-2-3.41</t>
  </si>
  <si>
    <t>Standing Long Jump-2-3.42</t>
  </si>
  <si>
    <t>Standing Long Jump-2-3.43</t>
  </si>
  <si>
    <t>Standing Long Jump-2-3.44</t>
  </si>
  <si>
    <t>Standing Long Jump-2-3.45</t>
  </si>
  <si>
    <t>Standing Long Jump-2-3.46</t>
  </si>
  <si>
    <t>Standing Long Jump-2-3.47</t>
  </si>
  <si>
    <t>Standing Long Jump-2-3.48</t>
  </si>
  <si>
    <t>Standing Long Jump-2-3.49</t>
  </si>
  <si>
    <t>Standing Long Jump-2-3.51</t>
  </si>
  <si>
    <t>Standing Long Jump-2-3.52</t>
  </si>
  <si>
    <t>Standing Long Jump-2-3.53</t>
  </si>
  <si>
    <t>Standing Long Jump-2-3.54</t>
  </si>
  <si>
    <t>Standing Long Jump-2-3.55</t>
  </si>
  <si>
    <t>Standing Long Jump-2-3.56</t>
  </si>
  <si>
    <t>Standing Long Jump-2-3.57</t>
  </si>
  <si>
    <t>Standing Long Jump-2-3.58</t>
  </si>
  <si>
    <t>Standing Long Jump-2-3.59</t>
  </si>
  <si>
    <t>Standing Long Jump-2-3.61</t>
  </si>
  <si>
    <t>Standing Long Jump-2-3.62</t>
  </si>
  <si>
    <t>Standing Long Jump-2-3.63</t>
  </si>
  <si>
    <t>Standing Long Jump-2-3.64</t>
  </si>
  <si>
    <t>Standing Long Jump-2-3.65</t>
  </si>
  <si>
    <t>Standing Long Jump-2-3.66</t>
  </si>
  <si>
    <t>Standing Long Jump-2-3.67</t>
  </si>
  <si>
    <t>Standing Long Jump-2-3.68</t>
  </si>
  <si>
    <t>Standing Long Jump-2-3.69</t>
  </si>
  <si>
    <t>Standing Long Jump-2-3.71</t>
  </si>
  <si>
    <t>Standing Long Jump-2-3.72</t>
  </si>
  <si>
    <t>Standing Long Jump-2-3.73</t>
  </si>
  <si>
    <t>Standing Long Jump-2-3.74</t>
  </si>
  <si>
    <t>Standing Long Jump-2-3.75</t>
  </si>
  <si>
    <t>Standing Long Jump-2-3.76</t>
  </si>
  <si>
    <t>Standing Long Jump-2-3.77</t>
  </si>
  <si>
    <t>Standing Long Jump-2-3.78</t>
  </si>
  <si>
    <t>Standing Long Jump-2-3.79</t>
  </si>
  <si>
    <t>Standing Long Jump-2-3.81</t>
  </si>
  <si>
    <t>Standing Long Jump-2-3.82</t>
  </si>
  <si>
    <t>Standing Long Jump-2-3.83</t>
  </si>
  <si>
    <t>Standing Long Jump-2-3.84</t>
  </si>
  <si>
    <t>Standing Long Jump-2-3.85</t>
  </si>
  <si>
    <t>Standing Long Jump-2-3.86</t>
  </si>
  <si>
    <t>Standing Long Jump-2-3.87</t>
  </si>
  <si>
    <t>Standing Long Jump-2-3.88</t>
  </si>
  <si>
    <t>Standing Long Jump-2-3.89</t>
  </si>
  <si>
    <t>Standing Long Jump-2-3.91</t>
  </si>
  <si>
    <t>Standing Long Jump-2-3.92</t>
  </si>
  <si>
    <t>Standing Long Jump-2-3.93</t>
  </si>
  <si>
    <t>Standing Long Jump-2-3.94</t>
  </si>
  <si>
    <t>Standing Long Jump-2-3.95</t>
  </si>
  <si>
    <t>Standing Long Jump-2-3.96</t>
  </si>
  <si>
    <t>Standing Long Jump-2-3.97</t>
  </si>
  <si>
    <t>Standing Long Jump-2-3.98</t>
  </si>
  <si>
    <t>Standing Long Jump-2-3.99</t>
  </si>
  <si>
    <t>Standing Long Jump-2-2.9</t>
  </si>
  <si>
    <t>Standing Long Jump-2-3</t>
  </si>
  <si>
    <t>Standing Long Jump-2-3.1</t>
  </si>
  <si>
    <t>Standing Long Jump-2-3.2</t>
  </si>
  <si>
    <t>Standing Long Jump-2-3.3</t>
  </si>
  <si>
    <t>Standing Long Jump-1-2.9</t>
  </si>
  <si>
    <t>Standing Long Jump-1-3</t>
  </si>
  <si>
    <t>Standing Long Jump-1-3.1</t>
  </si>
  <si>
    <t>Standing Long Jump-1-3.2</t>
  </si>
  <si>
    <t>Standing Long Jump-1-3.3</t>
  </si>
  <si>
    <t>Standing Long Jump-1-3.4</t>
  </si>
  <si>
    <t>Standing Long Jump-1-3.5</t>
  </si>
  <si>
    <t>Standing Long Jump-1-3.6</t>
  </si>
  <si>
    <t>Standing Long Jump-1-3.7</t>
  </si>
  <si>
    <t>Standing Long Jump-1-3.8</t>
  </si>
  <si>
    <t>Standing Long Jump-1-3.9</t>
  </si>
  <si>
    <t>Standing Long Jump-1-4</t>
  </si>
  <si>
    <t>Standing Long Jump-2-3.4</t>
  </si>
  <si>
    <t>Standing Long Jump-2-3.5</t>
  </si>
  <si>
    <t>Standing Long Jump-2-3.6</t>
  </si>
  <si>
    <t>Standing Long Jump-2-3.7</t>
  </si>
  <si>
    <t>Standing Long Jump-2-4</t>
  </si>
  <si>
    <t>Standing Long Jump-2-3.9</t>
  </si>
  <si>
    <t>Standing Long Jump-2-3.8</t>
  </si>
  <si>
    <t>Standing Long Jump-3-0.01</t>
  </si>
  <si>
    <t>Standing Long Jump-3-0.02</t>
  </si>
  <si>
    <t>Standing Long Jump-3-0.03</t>
  </si>
  <si>
    <t>Standing Long Jump-3-0.04</t>
  </si>
  <si>
    <t>Standing Long Jump-3-0.05</t>
  </si>
  <si>
    <t>Standing Long Jump-3-0.06</t>
  </si>
  <si>
    <t>Standing Long Jump-3-0.07</t>
  </si>
  <si>
    <t>Standing Long Jump-3-0.08</t>
  </si>
  <si>
    <t>Standing Long Jump-3-0.09</t>
  </si>
  <si>
    <t>Standing Long Jump-3-0.1</t>
  </si>
  <si>
    <t>Standing Long Jump-3-0.11</t>
  </si>
  <si>
    <t>Standing Long Jump-3-0.12</t>
  </si>
  <si>
    <t>Standing Long Jump-3-0.13</t>
  </si>
  <si>
    <t>Standing Long Jump-3-0.14</t>
  </si>
  <si>
    <t>Standing Long Jump-3-0.15</t>
  </si>
  <si>
    <t>Standing Long Jump-3-0.16</t>
  </si>
  <si>
    <t>Standing Long Jump-3-0.17</t>
  </si>
  <si>
    <t>Standing Long Jump-3-0.18</t>
  </si>
  <si>
    <t>Standing Long Jump-3-0.19</t>
  </si>
  <si>
    <t>Standing Long Jump-3-0.2</t>
  </si>
  <si>
    <t>Standing Long Jump-3-0.21</t>
  </si>
  <si>
    <t>Standing Long Jump-3-0.22</t>
  </si>
  <si>
    <t>Standing Long Jump-3-0.23</t>
  </si>
  <si>
    <t>Standing Long Jump-3-0.24</t>
  </si>
  <si>
    <t>Standing Long Jump-3-0.25</t>
  </si>
  <si>
    <t>Standing Long Jump-3-0.26</t>
  </si>
  <si>
    <t>Standing Long Jump-3-0.27</t>
  </si>
  <si>
    <t>Standing Long Jump-3-0.28</t>
  </si>
  <si>
    <t>Standing Long Jump-3-0.29</t>
  </si>
  <si>
    <t>Standing Long Jump-3-0.3</t>
  </si>
  <si>
    <t>Standing Long Jump-3-0.31</t>
  </si>
  <si>
    <t>Standing Long Jump-3-0.32</t>
  </si>
  <si>
    <t>Standing Long Jump-3-0.33</t>
  </si>
  <si>
    <t>Standing Long Jump-3-0.34</t>
  </si>
  <si>
    <t>Standing Long Jump-3-0.35</t>
  </si>
  <si>
    <t>Standing Long Jump-3-0.36</t>
  </si>
  <si>
    <t>Standing Long Jump-3-0.37</t>
  </si>
  <si>
    <t>Standing Long Jump-3-0.38</t>
  </si>
  <si>
    <t>Standing Long Jump-3-0.39</t>
  </si>
  <si>
    <t>Standing Long Jump-3-0.4</t>
  </si>
  <si>
    <t>Standing Long Jump-3-0.41</t>
  </si>
  <si>
    <t>Standing Long Jump-3-0.42</t>
  </si>
  <si>
    <t>Standing Long Jump-3-0.43</t>
  </si>
  <si>
    <t>Standing Long Jump-3-0.44</t>
  </si>
  <si>
    <t>Standing Long Jump-3-0.45</t>
  </si>
  <si>
    <t>Standing Long Jump-3-0.46</t>
  </si>
  <si>
    <t>Standing Long Jump-3-0.47</t>
  </si>
  <si>
    <t>Standing Long Jump-3-0.48</t>
  </si>
  <si>
    <t>Standing Long Jump-3-0.49</t>
  </si>
  <si>
    <t>Standing Long Jump-3-0.5</t>
  </si>
  <si>
    <t>Standing Long Jump-3-0.51</t>
  </si>
  <si>
    <t>Standing Long Jump-3-0.52</t>
  </si>
  <si>
    <t>Standing Long Jump-3-0.53</t>
  </si>
  <si>
    <t>Standing Long Jump-3-0.54</t>
  </si>
  <si>
    <t>Standing Long Jump-3-0.55</t>
  </si>
  <si>
    <t>Standing Long Jump-3-0.56</t>
  </si>
  <si>
    <t>Standing Long Jump-3-0.57</t>
  </si>
  <si>
    <t>Standing Long Jump-3-0.58</t>
  </si>
  <si>
    <t>Standing Long Jump-3-0.59</t>
  </si>
  <si>
    <t>Standing Long Jump-3-0.6</t>
  </si>
  <si>
    <t>Standing Long Jump-3-0.61</t>
  </si>
  <si>
    <t>Standing Long Jump-3-0.62</t>
  </si>
  <si>
    <t>Standing Long Jump-3-0.63</t>
  </si>
  <si>
    <t>Standing Long Jump-3-0.64</t>
  </si>
  <si>
    <t>Standing Long Jump-3-0.65</t>
  </si>
  <si>
    <t>Standing Long Jump-3-0.66</t>
  </si>
  <si>
    <t>Standing Long Jump-3-0.67</t>
  </si>
  <si>
    <t>Standing Long Jump-3-0.68</t>
  </si>
  <si>
    <t>Standing Long Jump-3-0.69</t>
  </si>
  <si>
    <t>Standing Long Jump-3-0.7</t>
  </si>
  <si>
    <t>Standing Long Jump-3-0.71</t>
  </si>
  <si>
    <t>Standing Long Jump-3-0.72</t>
  </si>
  <si>
    <t>Standing Long Jump-3-0.73</t>
  </si>
  <si>
    <t>Standing Long Jump-3-0.74</t>
  </si>
  <si>
    <t>Standing Long Jump-3-0.75</t>
  </si>
  <si>
    <t>Standing Long Jump-3-0.76</t>
  </si>
  <si>
    <t>Standing Long Jump-3-0.77</t>
  </si>
  <si>
    <t>Standing Long Jump-3-0.78</t>
  </si>
  <si>
    <t>Standing Long Jump-3-0.79</t>
  </si>
  <si>
    <t>Standing Long Jump-3-0.8</t>
  </si>
  <si>
    <t>Standing Long Jump-3-0.81</t>
  </si>
  <si>
    <t>Standing Long Jump-3-0.82</t>
  </si>
  <si>
    <t>Standing Long Jump-3-0.83</t>
  </si>
  <si>
    <t>Standing Long Jump-3-0.84</t>
  </si>
  <si>
    <t>Standing Long Jump-3-0.85</t>
  </si>
  <si>
    <t>Standing Long Jump-3-0.86</t>
  </si>
  <si>
    <t>Standing Long Jump-3-0.87</t>
  </si>
  <si>
    <t>Standing Long Jump-3-0.88</t>
  </si>
  <si>
    <t>Standing Long Jump-3-0.89</t>
  </si>
  <si>
    <t>Standing Long Jump-3-0.9</t>
  </si>
  <si>
    <t>Standing Long Jump-3-0.91</t>
  </si>
  <si>
    <t>Standing Long Jump-3-0.92</t>
  </si>
  <si>
    <t>Standing Long Jump-3-0.93</t>
  </si>
  <si>
    <t>Standing Long Jump-3-0.94</t>
  </si>
  <si>
    <t>Standing Long Jump-3-0.95</t>
  </si>
  <si>
    <t>Standing Long Jump-3-0.96</t>
  </si>
  <si>
    <t>Standing Long Jump-3-0.97</t>
  </si>
  <si>
    <t>Standing Long Jump-3-0.98</t>
  </si>
  <si>
    <t>Standing Long Jump-3-0.99</t>
  </si>
  <si>
    <t>Standing Long Jump-3-1</t>
  </si>
  <si>
    <t>Standing Long Jump-3-1.01</t>
  </si>
  <si>
    <t>Standing Long Jump-3-1.02</t>
  </si>
  <si>
    <t>Standing Long Jump-3-1.03</t>
  </si>
  <si>
    <t>Standing Long Jump-3-1.04</t>
  </si>
  <si>
    <t>Standing Long Jump-3-1.05</t>
  </si>
  <si>
    <t>Standing Long Jump-3-1.06</t>
  </si>
  <si>
    <t>Standing Long Jump-3-1.07</t>
  </si>
  <si>
    <t>Standing Long Jump-3-1.08</t>
  </si>
  <si>
    <t>Standing Long Jump-3-1.09</t>
  </si>
  <si>
    <t>Standing Long Jump-3-1.1</t>
  </si>
  <si>
    <t>Standing Long Jump-3-1.11</t>
  </si>
  <si>
    <t>Standing Long Jump-3-1.12</t>
  </si>
  <si>
    <t>Standing Long Jump-3-1.13</t>
  </si>
  <si>
    <t>Standing Long Jump-3-1.14</t>
  </si>
  <si>
    <t>Standing Long Jump-3-1.15</t>
  </si>
  <si>
    <t>Standing Long Jump-3-1.16</t>
  </si>
  <si>
    <t>Standing Long Jump-3-1.17</t>
  </si>
  <si>
    <t>Standing Long Jump-3-1.18</t>
  </si>
  <si>
    <t>Standing Long Jump-3-1.19</t>
  </si>
  <si>
    <t>Standing Long Jump-3-1.2</t>
  </si>
  <si>
    <t>Standing Long Jump-3-1.21</t>
  </si>
  <si>
    <t>Standing Long Jump-3-1.22</t>
  </si>
  <si>
    <t>Standing Long Jump-3-1.23</t>
  </si>
  <si>
    <t>Standing Long Jump-3-1.24</t>
  </si>
  <si>
    <t>Standing Long Jump-3-1.25</t>
  </si>
  <si>
    <t>Standing Long Jump-3-1.26</t>
  </si>
  <si>
    <t>Standing Long Jump-3-1.27</t>
  </si>
  <si>
    <t>Standing Long Jump-3-1.28</t>
  </si>
  <si>
    <t>Standing Long Jump-3-1.29</t>
  </si>
  <si>
    <t>Standing Long Jump-3-1.3</t>
  </si>
  <si>
    <t>Standing Long Jump-3-1.31</t>
  </si>
  <si>
    <t>Standing Long Jump-3-1.32</t>
  </si>
  <si>
    <t>Standing Long Jump-3-1.33</t>
  </si>
  <si>
    <t>Standing Long Jump-3-1.34</t>
  </si>
  <si>
    <t>Standing Long Jump-3-1.35</t>
  </si>
  <si>
    <t>Standing Long Jump-3-1.36</t>
  </si>
  <si>
    <t>Standing Long Jump-3-1.37</t>
  </si>
  <si>
    <t>Standing Long Jump-3-1.38</t>
  </si>
  <si>
    <t>Standing Long Jump-3-1.39</t>
  </si>
  <si>
    <t>Standing Long Jump-3-1.4</t>
  </si>
  <si>
    <t>Standing Long Jump-3-1.41</t>
  </si>
  <si>
    <t>Standing Long Jump-3-1.42</t>
  </si>
  <si>
    <t>Standing Long Jump-3-1.43</t>
  </si>
  <si>
    <t>Standing Long Jump-3-1.44</t>
  </si>
  <si>
    <t>Standing Long Jump-3-1.45</t>
  </si>
  <si>
    <t>Standing Long Jump-3-1.46</t>
  </si>
  <si>
    <t>Standing Long Jump-3-1.47</t>
  </si>
  <si>
    <t>Standing Long Jump-3-1.48</t>
  </si>
  <si>
    <t>Standing Long Jump-3-1.49</t>
  </si>
  <si>
    <t>Standing Long Jump-3-1.5</t>
  </si>
  <si>
    <t>Standing Long Jump-3-1.51</t>
  </si>
  <si>
    <t>Standing Long Jump-3-1.52</t>
  </si>
  <si>
    <t>Standing Long Jump-3-1.53</t>
  </si>
  <si>
    <t>Standing Long Jump-3-1.54</t>
  </si>
  <si>
    <t>Standing Long Jump-3-1.55</t>
  </si>
  <si>
    <t>Standing Long Jump-3-1.56</t>
  </si>
  <si>
    <t>Standing Long Jump-3-1.57</t>
  </si>
  <si>
    <t>Standing Long Jump-3-1.58</t>
  </si>
  <si>
    <t>Standing Long Jump-3-1.59</t>
  </si>
  <si>
    <t>Standing Long Jump-3-1.6</t>
  </si>
  <si>
    <t>Standing Long Jump-3-1.61</t>
  </si>
  <si>
    <t>Standing Long Jump-3-1.62</t>
  </si>
  <si>
    <t>Standing Long Jump-3-1.63</t>
  </si>
  <si>
    <t>Standing Long Jump-3-1.64</t>
  </si>
  <si>
    <t>Standing Long Jump-3-1.65</t>
  </si>
  <si>
    <t>Standing Long Jump-3-1.66</t>
  </si>
  <si>
    <t>Standing Long Jump-3-1.67</t>
  </si>
  <si>
    <t>Standing Long Jump-3-1.68</t>
  </si>
  <si>
    <t>Standing Long Jump-3-1.69</t>
  </si>
  <si>
    <t>Standing Long Jump-3-1.7</t>
  </si>
  <si>
    <t>Standing Long Jump-3-1.71</t>
  </si>
  <si>
    <t>Standing Long Jump-3-1.72</t>
  </si>
  <si>
    <t>Standing Long Jump-3-1.73</t>
  </si>
  <si>
    <t>Standing Long Jump-3-1.74</t>
  </si>
  <si>
    <t>Standing Long Jump-3-1.75</t>
  </si>
  <si>
    <t>Standing Long Jump-3-1.76</t>
  </si>
  <si>
    <t>Standing Long Jump-3-1.77</t>
  </si>
  <si>
    <t>Standing Long Jump-3-1.78</t>
  </si>
  <si>
    <t>Standing Long Jump-3-1.79</t>
  </si>
  <si>
    <t>Standing Long Jump-3-1.8</t>
  </si>
  <si>
    <t>Standing Long Jump-3-1.81</t>
  </si>
  <si>
    <t>Standing Long Jump-3-1.82</t>
  </si>
  <si>
    <t>Standing Long Jump-3-1.83</t>
  </si>
  <si>
    <t>Standing Long Jump-3-1.84</t>
  </si>
  <si>
    <t>Standing Long Jump-3-1.85</t>
  </si>
  <si>
    <t>Standing Long Jump-3-1.86</t>
  </si>
  <si>
    <t>Standing Long Jump-3-1.87</t>
  </si>
  <si>
    <t>Standing Long Jump-3-1.88</t>
  </si>
  <si>
    <t>Standing Long Jump-3-1.89</t>
  </si>
  <si>
    <t>Standing Long Jump-3-1.9</t>
  </si>
  <si>
    <t>Standing Long Jump-3-1.91</t>
  </si>
  <si>
    <t>Standing Long Jump-3-1.92</t>
  </si>
  <si>
    <t>Standing Long Jump-3-1.93</t>
  </si>
  <si>
    <t>Standing Long Jump-3-1.94</t>
  </si>
  <si>
    <t>Standing Long Jump-3-1.95</t>
  </si>
  <si>
    <t>Standing Long Jump-3-1.96</t>
  </si>
  <si>
    <t>Standing Long Jump-3-1.97</t>
  </si>
  <si>
    <t>Standing Long Jump-3-1.98</t>
  </si>
  <si>
    <t>Standing Long Jump-3-1.99</t>
  </si>
  <si>
    <t>Standing Long Jump-3-2</t>
  </si>
  <si>
    <t>Standing Long Jump-3-2.01</t>
  </si>
  <si>
    <t>Standing Long Jump-3-2.02</t>
  </si>
  <si>
    <t>Standing Long Jump-3-2.03</t>
  </si>
  <si>
    <t>Standing Long Jump-3-2.04</t>
  </si>
  <si>
    <t>Standing Long Jump-3-2.05</t>
  </si>
  <si>
    <t>Standing Long Jump-3-2.06</t>
  </si>
  <si>
    <t>Standing Long Jump-3-2.07</t>
  </si>
  <si>
    <t>Standing Long Jump-3-2.08</t>
  </si>
  <si>
    <t>Standing Long Jump-3-2.09</t>
  </si>
  <si>
    <t>Standing Long Jump-3-2.1</t>
  </si>
  <si>
    <t>Standing Long Jump-3-2.11</t>
  </si>
  <si>
    <t>Standing Long Jump-3-2.12</t>
  </si>
  <si>
    <t>Standing Long Jump-3-2.13</t>
  </si>
  <si>
    <t>Standing Long Jump-3-2.14</t>
  </si>
  <si>
    <t>Standing Long Jump-3-2.15</t>
  </si>
  <si>
    <t>Standing Long Jump-3-2.16</t>
  </si>
  <si>
    <t>Standing Long Jump-3-2.17</t>
  </si>
  <si>
    <t>Standing Long Jump-3-2.18</t>
  </si>
  <si>
    <t>Standing Long Jump-3-2.19</t>
  </si>
  <si>
    <t>Standing Long Jump-3-2.2</t>
  </si>
  <si>
    <t>Standing Long Jump-3-2.21</t>
  </si>
  <si>
    <t>Standing Long Jump-3-2.22</t>
  </si>
  <si>
    <t>Standing Long Jump-3-2.23</t>
  </si>
  <si>
    <t>Standing Long Jump-3-2.24</t>
  </si>
  <si>
    <t>Standing Long Jump-3-2.25</t>
  </si>
  <si>
    <t>Standing Long Jump-3-2.26</t>
  </si>
  <si>
    <t>Standing Long Jump-3-2.27</t>
  </si>
  <si>
    <t>Standing Long Jump-3-2.28</t>
  </si>
  <si>
    <t>Standing Long Jump-3-2.29</t>
  </si>
  <si>
    <t>Standing Long Jump-3-2.3</t>
  </si>
  <si>
    <t>Standing Long Jump-3-2.31</t>
  </si>
  <si>
    <t>Standing Long Jump-3-2.32</t>
  </si>
  <si>
    <t>Standing Long Jump-3-2.33</t>
  </si>
  <si>
    <t>Standing Long Jump-3-2.34</t>
  </si>
  <si>
    <t>Standing Long Jump-3-2.35</t>
  </si>
  <si>
    <t>Standing Long Jump-3-2.36</t>
  </si>
  <si>
    <t>Standing Long Jump-3-2.37</t>
  </si>
  <si>
    <t>Standing Long Jump-3-2.38</t>
  </si>
  <si>
    <t>Standing Long Jump-3-2.39</t>
  </si>
  <si>
    <t>Standing Long Jump-3-2.4</t>
  </si>
  <si>
    <t>Standing Long Jump-3-2.41</t>
  </si>
  <si>
    <t>Standing Long Jump-3-2.42</t>
  </si>
  <si>
    <t>Standing Long Jump-3-2.43</t>
  </si>
  <si>
    <t>Standing Long Jump-3-2.44</t>
  </si>
  <si>
    <t>Standing Long Jump-3-2.45</t>
  </si>
  <si>
    <t>Standing Long Jump-3-2.46</t>
  </si>
  <si>
    <t>Standing Long Jump-3-2.47</t>
  </si>
  <si>
    <t>Standing Long Jump-3-2.48</t>
  </si>
  <si>
    <t>Standing Long Jump-3-2.49</t>
  </si>
  <si>
    <t>Standing Long Jump-3-2.5</t>
  </si>
  <si>
    <t>Standing Long Jump-4-0.01</t>
  </si>
  <si>
    <t>Standing Long Jump-4-0.02</t>
  </si>
  <si>
    <t>Standing Long Jump-4-0.03</t>
  </si>
  <si>
    <t>Standing Long Jump-4-0.04</t>
  </si>
  <si>
    <t>Standing Long Jump-4-0.05</t>
  </si>
  <si>
    <t>Standing Long Jump-4-0.06</t>
  </si>
  <si>
    <t>Standing Long Jump-4-0.07</t>
  </si>
  <si>
    <t>Standing Long Jump-4-0.08</t>
  </si>
  <si>
    <t>Standing Long Jump-4-0.09</t>
  </si>
  <si>
    <t>Standing Long Jump-4-0.1</t>
  </si>
  <si>
    <t>Standing Long Jump-4-0.11</t>
  </si>
  <si>
    <t>Standing Long Jump-4-0.12</t>
  </si>
  <si>
    <t>Standing Long Jump-4-0.13</t>
  </si>
  <si>
    <t>Standing Long Jump-4-0.14</t>
  </si>
  <si>
    <t>Standing Long Jump-4-0.15</t>
  </si>
  <si>
    <t>Standing Long Jump-4-0.16</t>
  </si>
  <si>
    <t>Standing Long Jump-4-0.17</t>
  </si>
  <si>
    <t>Standing Long Jump-4-0.18</t>
  </si>
  <si>
    <t>Standing Long Jump-4-0.19</t>
  </si>
  <si>
    <t>Standing Long Jump-4-0.2</t>
  </si>
  <si>
    <t>Standing Long Jump-4-0.21</t>
  </si>
  <si>
    <t>Standing Long Jump-4-0.22</t>
  </si>
  <si>
    <t>Standing Long Jump-4-0.23</t>
  </si>
  <si>
    <t>Standing Long Jump-4-0.24</t>
  </si>
  <si>
    <t>Standing Long Jump-4-0.25</t>
  </si>
  <si>
    <t>Standing Long Jump-4-0.26</t>
  </si>
  <si>
    <t>Standing Long Jump-4-0.27</t>
  </si>
  <si>
    <t>Standing Long Jump-4-0.28</t>
  </si>
  <si>
    <t>Standing Long Jump-4-0.29</t>
  </si>
  <si>
    <t>Standing Long Jump-4-0.3</t>
  </si>
  <si>
    <t>Standing Long Jump-4-0.31</t>
  </si>
  <si>
    <t>Standing Long Jump-4-0.32</t>
  </si>
  <si>
    <t>Standing Long Jump-4-0.33</t>
  </si>
  <si>
    <t>Standing Long Jump-4-0.34</t>
  </si>
  <si>
    <t>Standing Long Jump-4-0.35</t>
  </si>
  <si>
    <t>Standing Long Jump-4-0.36</t>
  </si>
  <si>
    <t>Standing Long Jump-4-0.37</t>
  </si>
  <si>
    <t>Standing Long Jump-4-0.38</t>
  </si>
  <si>
    <t>Standing Long Jump-4-0.39</t>
  </si>
  <si>
    <t>Standing Long Jump-4-0.4</t>
  </si>
  <si>
    <t>Standing Long Jump-4-0.41</t>
  </si>
  <si>
    <t>Standing Long Jump-4-0.42</t>
  </si>
  <si>
    <t>Standing Long Jump-4-0.43</t>
  </si>
  <si>
    <t>Standing Long Jump-4-0.44</t>
  </si>
  <si>
    <t>Standing Long Jump-4-0.45</t>
  </si>
  <si>
    <t>Standing Long Jump-4-0.46</t>
  </si>
  <si>
    <t>Standing Long Jump-4-0.47</t>
  </si>
  <si>
    <t>Standing Long Jump-4-0.48</t>
  </si>
  <si>
    <t>Standing Long Jump-4-0.49</t>
  </si>
  <si>
    <t>Standing Long Jump-4-0.5</t>
  </si>
  <si>
    <t>Standing Long Jump-4-0.51</t>
  </si>
  <si>
    <t>Standing Long Jump-4-0.52</t>
  </si>
  <si>
    <t>Standing Long Jump-4-0.53</t>
  </si>
  <si>
    <t>Standing Long Jump-4-0.54</t>
  </si>
  <si>
    <t>Standing Long Jump-4-0.55</t>
  </si>
  <si>
    <t>Standing Long Jump-4-0.56</t>
  </si>
  <si>
    <t>Standing Long Jump-4-0.57</t>
  </si>
  <si>
    <t>Standing Long Jump-4-0.58</t>
  </si>
  <si>
    <t>Standing Long Jump-4-0.59</t>
  </si>
  <si>
    <t>Standing Long Jump-4-0.6</t>
  </si>
  <si>
    <t>Standing Long Jump-4-0.61</t>
  </si>
  <si>
    <t>Standing Long Jump-4-0.62</t>
  </si>
  <si>
    <t>Standing Long Jump-4-0.63</t>
  </si>
  <si>
    <t>Standing Long Jump-4-0.64</t>
  </si>
  <si>
    <t>Standing Long Jump-4-0.65</t>
  </si>
  <si>
    <t>Standing Long Jump-4-0.66</t>
  </si>
  <si>
    <t>Standing Long Jump-4-0.67</t>
  </si>
  <si>
    <t>Standing Long Jump-4-0.68</t>
  </si>
  <si>
    <t>Standing Long Jump-4-0.69</t>
  </si>
  <si>
    <t>Standing Long Jump-4-0.7</t>
  </si>
  <si>
    <t>Standing Long Jump-4-0.71</t>
  </si>
  <si>
    <t>Standing Long Jump-4-0.72</t>
  </si>
  <si>
    <t>Standing Long Jump-4-0.73</t>
  </si>
  <si>
    <t>Standing Long Jump-4-0.74</t>
  </si>
  <si>
    <t>Standing Long Jump-4-0.75</t>
  </si>
  <si>
    <t>Standing Long Jump-4-0.76</t>
  </si>
  <si>
    <t>Standing Long Jump-4-0.77</t>
  </si>
  <si>
    <t>Standing Long Jump-4-0.78</t>
  </si>
  <si>
    <t>Standing Long Jump-4-0.79</t>
  </si>
  <si>
    <t>Standing Long Jump-4-0.8</t>
  </si>
  <si>
    <t>Standing Long Jump-4-0.81</t>
  </si>
  <si>
    <t>Standing Long Jump-4-0.82</t>
  </si>
  <si>
    <t>Standing Long Jump-4-0.83</t>
  </si>
  <si>
    <t>Standing Long Jump-4-0.84</t>
  </si>
  <si>
    <t>Standing Long Jump-4-0.85</t>
  </si>
  <si>
    <t>Standing Long Jump-4-0.86</t>
  </si>
  <si>
    <t>Standing Long Jump-4-0.87</t>
  </si>
  <si>
    <t>Standing Long Jump-4-0.88</t>
  </si>
  <si>
    <t>Standing Long Jump-4-0.89</t>
  </si>
  <si>
    <t>Standing Long Jump-4-0.9</t>
  </si>
  <si>
    <t>Standing Long Jump-4-0.91</t>
  </si>
  <si>
    <t>Standing Long Jump-4-0.92</t>
  </si>
  <si>
    <t>Standing Long Jump-4-0.93</t>
  </si>
  <si>
    <t>Standing Long Jump-4-0.94</t>
  </si>
  <si>
    <t>Standing Long Jump-4-0.95</t>
  </si>
  <si>
    <t>Standing Long Jump-4-0.96</t>
  </si>
  <si>
    <t>Standing Long Jump-4-0.97</t>
  </si>
  <si>
    <t>Standing Long Jump-4-0.98</t>
  </si>
  <si>
    <t>Standing Long Jump-4-0.99</t>
  </si>
  <si>
    <t>Standing Long Jump-4-1</t>
  </si>
  <si>
    <t>Standing Long Jump-4-1.01</t>
  </si>
  <si>
    <t>Standing Long Jump-4-1.02</t>
  </si>
  <si>
    <t>Standing Long Jump-4-1.03</t>
  </si>
  <si>
    <t>Standing Long Jump-4-1.04</t>
  </si>
  <si>
    <t>Standing Long Jump-4-1.05</t>
  </si>
  <si>
    <t>Standing Long Jump-4-1.06</t>
  </si>
  <si>
    <t>Standing Long Jump-4-1.07</t>
  </si>
  <si>
    <t>Standing Long Jump-4-1.08</t>
  </si>
  <si>
    <t>Standing Long Jump-4-1.09</t>
  </si>
  <si>
    <t>Standing Long Jump-4-1.1</t>
  </si>
  <si>
    <t>Standing Long Jump-4-1.11</t>
  </si>
  <si>
    <t>Standing Long Jump-4-1.12</t>
  </si>
  <si>
    <t>Standing Long Jump-4-1.13</t>
  </si>
  <si>
    <t>Standing Long Jump-4-1.14</t>
  </si>
  <si>
    <t>Standing Long Jump-4-1.15</t>
  </si>
  <si>
    <t>Standing Long Jump-4-1.16</t>
  </si>
  <si>
    <t>Standing Long Jump-4-1.17</t>
  </si>
  <si>
    <t>Standing Long Jump-4-1.18</t>
  </si>
  <si>
    <t>Standing Long Jump-4-1.19</t>
  </si>
  <si>
    <t>Standing Long Jump-4-1.2</t>
  </si>
  <si>
    <t>Standing Long Jump-4-1.21</t>
  </si>
  <si>
    <t>Standing Long Jump-4-1.22</t>
  </si>
  <si>
    <t>Standing Long Jump-4-1.23</t>
  </si>
  <si>
    <t>Standing Long Jump-4-1.24</t>
  </si>
  <si>
    <t>Standing Long Jump-4-1.25</t>
  </si>
  <si>
    <t>Standing Long Jump-4-1.26</t>
  </si>
  <si>
    <t>Standing Long Jump-4-1.27</t>
  </si>
  <si>
    <t>Standing Long Jump-4-1.28</t>
  </si>
  <si>
    <t>Standing Long Jump-4-1.29</t>
  </si>
  <si>
    <t>Standing Long Jump-4-1.3</t>
  </si>
  <si>
    <t>Standing Long Jump-4-1.31</t>
  </si>
  <si>
    <t>Standing Long Jump-4-1.32</t>
  </si>
  <si>
    <t>Standing Long Jump-4-1.33</t>
  </si>
  <si>
    <t>Standing Long Jump-4-1.34</t>
  </si>
  <si>
    <t>Standing Long Jump-4-1.35</t>
  </si>
  <si>
    <t>Standing Long Jump-4-1.36</t>
  </si>
  <si>
    <t>Standing Long Jump-4-1.37</t>
  </si>
  <si>
    <t>Standing Long Jump-4-1.38</t>
  </si>
  <si>
    <t>Standing Long Jump-4-1.39</t>
  </si>
  <si>
    <t>Standing Long Jump-4-1.4</t>
  </si>
  <si>
    <t>Standing Long Jump-4-1.41</t>
  </si>
  <si>
    <t>Standing Long Jump-4-1.42</t>
  </si>
  <si>
    <t>Standing Long Jump-4-1.43</t>
  </si>
  <si>
    <t>Standing Long Jump-4-1.44</t>
  </si>
  <si>
    <t>Standing Long Jump-4-1.45</t>
  </si>
  <si>
    <t>Standing Long Jump-4-1.46</t>
  </si>
  <si>
    <t>Standing Long Jump-4-1.47</t>
  </si>
  <si>
    <t>Standing Long Jump-4-1.48</t>
  </si>
  <si>
    <t>Standing Long Jump-4-1.49</t>
  </si>
  <si>
    <t>Standing Long Jump-4-1.5</t>
  </si>
  <si>
    <t>Standing Long Jump-4-1.51</t>
  </si>
  <si>
    <t>Standing Long Jump-4-1.52</t>
  </si>
  <si>
    <t>Standing Long Jump-4-1.53</t>
  </si>
  <si>
    <t>Standing Long Jump-4-1.54</t>
  </si>
  <si>
    <t>Standing Long Jump-4-1.55</t>
  </si>
  <si>
    <t>Standing Long Jump-4-1.56</t>
  </si>
  <si>
    <t>Standing Long Jump-4-1.57</t>
  </si>
  <si>
    <t>Standing Long Jump-4-1.58</t>
  </si>
  <si>
    <t>Standing Long Jump-4-1.59</t>
  </si>
  <si>
    <t>Standing Long Jump-4-1.6</t>
  </si>
  <si>
    <t>Standing Long Jump-4-1.61</t>
  </si>
  <si>
    <t>Standing Long Jump-4-1.62</t>
  </si>
  <si>
    <t>Standing Long Jump-4-1.63</t>
  </si>
  <si>
    <t>Standing Long Jump-4-1.64</t>
  </si>
  <si>
    <t>Standing Long Jump-4-1.65</t>
  </si>
  <si>
    <t>Standing Long Jump-4-1.66</t>
  </si>
  <si>
    <t>Standing Long Jump-4-1.67</t>
  </si>
  <si>
    <t>Standing Long Jump-4-1.68</t>
  </si>
  <si>
    <t>Standing Long Jump-4-1.69</t>
  </si>
  <si>
    <t>Standing Long Jump-4-1.7</t>
  </si>
  <si>
    <t>Standing Long Jump-4-1.71</t>
  </si>
  <si>
    <t>Standing Long Jump-4-1.72</t>
  </si>
  <si>
    <t>Standing Long Jump-4-1.73</t>
  </si>
  <si>
    <t>Standing Long Jump-4-1.74</t>
  </si>
  <si>
    <t>Standing Long Jump-4-1.75</t>
  </si>
  <si>
    <t>Standing Long Jump-4-1.76</t>
  </si>
  <si>
    <t>Standing Long Jump-4-1.77</t>
  </si>
  <si>
    <t>Standing Long Jump-4-1.78</t>
  </si>
  <si>
    <t>Standing Long Jump-4-1.79</t>
  </si>
  <si>
    <t>Standing Long Jump-4-1.8</t>
  </si>
  <si>
    <t>Standing Long Jump-4-1.81</t>
  </si>
  <si>
    <t>Standing Long Jump-4-1.82</t>
  </si>
  <si>
    <t>Standing Long Jump-4-1.83</t>
  </si>
  <si>
    <t>Standing Long Jump-4-1.84</t>
  </si>
  <si>
    <t>Standing Long Jump-4-1.85</t>
  </si>
  <si>
    <t>Standing Long Jump-4-1.86</t>
  </si>
  <si>
    <t>Standing Long Jump-4-1.87</t>
  </si>
  <si>
    <t>Standing Long Jump-4-1.88</t>
  </si>
  <si>
    <t>Standing Long Jump-4-1.89</t>
  </si>
  <si>
    <t>Standing Long Jump-4-1.9</t>
  </si>
  <si>
    <t>Standing Long Jump-4-1.91</t>
  </si>
  <si>
    <t>Standing Long Jump-4-1.92</t>
  </si>
  <si>
    <t>Standing Long Jump-4-1.93</t>
  </si>
  <si>
    <t>Standing Long Jump-4-1.94</t>
  </si>
  <si>
    <t>Standing Long Jump-4-1.95</t>
  </si>
  <si>
    <t>Standing Long Jump-4-1.96</t>
  </si>
  <si>
    <t>Standing Long Jump-4-1.97</t>
  </si>
  <si>
    <t>Standing Long Jump-4-1.98</t>
  </si>
  <si>
    <t>Standing Long Jump-4-1.99</t>
  </si>
  <si>
    <t>Standing Long Jump-4-2</t>
  </si>
  <si>
    <t>Standing Long Jump-4-2.01</t>
  </si>
  <si>
    <t>Standing Long Jump-4-2.02</t>
  </si>
  <si>
    <t>Standing Long Jump-4-2.03</t>
  </si>
  <si>
    <t>Standing Long Jump-4-2.04</t>
  </si>
  <si>
    <t>Standing Long Jump-4-2.05</t>
  </si>
  <si>
    <t>Standing Long Jump-4-2.06</t>
  </si>
  <si>
    <t>Standing Long Jump-4-2.07</t>
  </si>
  <si>
    <t>Standing Long Jump-4-2.08</t>
  </si>
  <si>
    <t>Standing Long Jump-4-2.09</t>
  </si>
  <si>
    <t>Standing Long Jump-4-2.1</t>
  </si>
  <si>
    <t>Standing Long Jump-4-2.11</t>
  </si>
  <si>
    <t>Standing Long Jump-4-2.12</t>
  </si>
  <si>
    <t>Standing Long Jump-4-2.13</t>
  </si>
  <si>
    <t>Standing Long Jump-4-2.14</t>
  </si>
  <si>
    <t>Standing Long Jump-4-2.15</t>
  </si>
  <si>
    <t>Standing Long Jump-4-2.16</t>
  </si>
  <si>
    <t>Standing Long Jump-4-2.17</t>
  </si>
  <si>
    <t>Standing Long Jump-4-2.18</t>
  </si>
  <si>
    <t>Standing Long Jump-4-2.19</t>
  </si>
  <si>
    <t>Standing Long Jump-4-2.2</t>
  </si>
  <si>
    <t>Standing Long Jump-4-2.21</t>
  </si>
  <si>
    <t>Standing Long Jump-4-2.22</t>
  </si>
  <si>
    <t>Standing Long Jump-4-2.23</t>
  </si>
  <si>
    <t>Standing Long Jump-4-2.24</t>
  </si>
  <si>
    <t>Standing Long Jump-4-2.25</t>
  </si>
  <si>
    <t>Standing Long Jump-4-2.26</t>
  </si>
  <si>
    <t>Standing Long Jump-4-2.27</t>
  </si>
  <si>
    <t>Standing Long Jump-4-2.28</t>
  </si>
  <si>
    <t>Standing Long Jump-4-2.29</t>
  </si>
  <si>
    <t>Standing Long Jump-4-2.3</t>
  </si>
  <si>
    <t>Standing Long Jump-4-2.31</t>
  </si>
  <si>
    <t>Standing Long Jump-4-2.32</t>
  </si>
  <si>
    <t>Standing Long Jump-4-2.33</t>
  </si>
  <si>
    <t>Standing Long Jump-4-2.34</t>
  </si>
  <si>
    <t>Standing Long Jump-4-2.35</t>
  </si>
  <si>
    <t>Standing Long Jump-4-2.36</t>
  </si>
  <si>
    <t>Standing Long Jump-4-2.37</t>
  </si>
  <si>
    <t>Standing Long Jump-4-2.38</t>
  </si>
  <si>
    <t>Standing Long Jump-4-2.39</t>
  </si>
  <si>
    <t>Standing Long Jump-4-2.4</t>
  </si>
  <si>
    <t>Standing Long Jump-4-2.41</t>
  </si>
  <si>
    <t>Standing Long Jump-4-2.42</t>
  </si>
  <si>
    <t>Standing Long Jump-4-2.43</t>
  </si>
  <si>
    <t>Standing Long Jump-4-2.44</t>
  </si>
  <si>
    <t>Standing Long Jump-4-2.45</t>
  </si>
  <si>
    <t>Standing Long Jump-4-2.46</t>
  </si>
  <si>
    <t>Standing Long Jump-4-2.47</t>
  </si>
  <si>
    <t>Standing Long Jump-4-2.48</t>
  </si>
  <si>
    <t>Standing Long Jump-4-2.49</t>
  </si>
  <si>
    <t>Standing Long Jump-4-2.5</t>
  </si>
  <si>
    <t>Speed Bounce-1-1</t>
  </si>
  <si>
    <t>Speed Bounce-1-2</t>
  </si>
  <si>
    <t>Speed Bounce-1-3</t>
  </si>
  <si>
    <t>Speed Bounce-1-4</t>
  </si>
  <si>
    <t>Speed Bounce-1-5</t>
  </si>
  <si>
    <t>Speed Bounce-1-6</t>
  </si>
  <si>
    <t>Speed Bounce-1-7</t>
  </si>
  <si>
    <t>Speed Bounce-1-8</t>
  </si>
  <si>
    <t>Speed Bounce-1-9</t>
  </si>
  <si>
    <t>Speed Bounce-1-10</t>
  </si>
  <si>
    <t>Speed Bounce-1-11</t>
  </si>
  <si>
    <t>Speed Bounce-1-12</t>
  </si>
  <si>
    <t>Speed Bounce-1-13</t>
  </si>
  <si>
    <t>Speed Bounce-1-14</t>
  </si>
  <si>
    <t>Speed Bounce-1-15</t>
  </si>
  <si>
    <t>Speed Bounce-1-16</t>
  </si>
  <si>
    <t>Speed Bounce-1-17</t>
  </si>
  <si>
    <t>Speed Bounce-1-18</t>
  </si>
  <si>
    <t>Speed Bounce-1-19</t>
  </si>
  <si>
    <t>Speed Bounce-1-20</t>
  </si>
  <si>
    <t>Speed Bounce-1-21</t>
  </si>
  <si>
    <t>Speed Bounce-1-22</t>
  </si>
  <si>
    <t>Speed Bounce-1-23</t>
  </si>
  <si>
    <t>Speed Bounce-1-24</t>
  </si>
  <si>
    <t>Speed Bounce-1-25</t>
  </si>
  <si>
    <t>Speed Bounce-1-26</t>
  </si>
  <si>
    <t>Speed Bounce-1-27</t>
  </si>
  <si>
    <t>Speed Bounce-1-28</t>
  </si>
  <si>
    <t>Speed Bounce-1-29</t>
  </si>
  <si>
    <t>Speed Bounce-1-30</t>
  </si>
  <si>
    <t>Speed Bounce-1-31</t>
  </si>
  <si>
    <t>Speed Bounce-1-32</t>
  </si>
  <si>
    <t>Speed Bounce-1-33</t>
  </si>
  <si>
    <t>Speed Bounce-1-34</t>
  </si>
  <si>
    <t>Speed Bounce-1-35</t>
  </si>
  <si>
    <t>Speed Bounce-1-36</t>
  </si>
  <si>
    <t>Speed Bounce-1-37</t>
  </si>
  <si>
    <t>Speed Bounce-1-38</t>
  </si>
  <si>
    <t>Speed Bounce-1-39</t>
  </si>
  <si>
    <t>Speed Bounce-1-40</t>
  </si>
  <si>
    <t>Speed Bounce-1-41</t>
  </si>
  <si>
    <t>Speed Bounce-1-42</t>
  </si>
  <si>
    <t>Speed Bounce-1-43</t>
  </si>
  <si>
    <t>Speed Bounce-1-44</t>
  </si>
  <si>
    <t>Speed Bounce-1-45</t>
  </si>
  <si>
    <t>Speed Bounce-1-46</t>
  </si>
  <si>
    <t>Speed Bounce-1-47</t>
  </si>
  <si>
    <t>Speed Bounce-1-48</t>
  </si>
  <si>
    <t>Speed Bounce-1-49</t>
  </si>
  <si>
    <t>Speed Bounce-1-50</t>
  </si>
  <si>
    <t>Speed Bounce-1-51</t>
  </si>
  <si>
    <t>Speed Bounce-1-52</t>
  </si>
  <si>
    <t>Speed Bounce-1-53</t>
  </si>
  <si>
    <t>Speed Bounce-1-54</t>
  </si>
  <si>
    <t>Speed Bounce-1-55</t>
  </si>
  <si>
    <t>Speed Bounce-1-56</t>
  </si>
  <si>
    <t>Speed Bounce-1-57</t>
  </si>
  <si>
    <t>Speed Bounce-1-58</t>
  </si>
  <si>
    <t>Speed Bounce-1-59</t>
  </si>
  <si>
    <t>Speed Bounce-1-60</t>
  </si>
  <si>
    <t>Speed Bounce-1-61</t>
  </si>
  <si>
    <t>Speed Bounce-1-62</t>
  </si>
  <si>
    <t>Speed Bounce-1-63</t>
  </si>
  <si>
    <t>Speed Bounce-1-64</t>
  </si>
  <si>
    <t>Speed Bounce-1-65</t>
  </si>
  <si>
    <t>Speed Bounce-1-66</t>
  </si>
  <si>
    <t>Speed Bounce-1-67</t>
  </si>
  <si>
    <t>Speed Bounce-1-68</t>
  </si>
  <si>
    <t>Speed Bounce-1-69</t>
  </si>
  <si>
    <t>Speed Bounce-1-70</t>
  </si>
  <si>
    <t>Speed Bounce-1-71</t>
  </si>
  <si>
    <t>Speed Bounce-1-72</t>
  </si>
  <si>
    <t>Speed Bounce-1-73</t>
  </si>
  <si>
    <t>Speed Bounce-1-74</t>
  </si>
  <si>
    <t>Speed Bounce-1-75</t>
  </si>
  <si>
    <t>Speed Bounce-1-76</t>
  </si>
  <si>
    <t>Speed Bounce-1-77</t>
  </si>
  <si>
    <t>Speed Bounce-1-78</t>
  </si>
  <si>
    <t>Speed Bounce-1-79</t>
  </si>
  <si>
    <t>Speed Bounce-1-80</t>
  </si>
  <si>
    <t>Speed Bounce-2-1</t>
  </si>
  <si>
    <t>Speed Bounce-2-2</t>
  </si>
  <si>
    <t>Speed Bounce-2-3</t>
  </si>
  <si>
    <t>Speed Bounce-2-4</t>
  </si>
  <si>
    <t>Speed Bounce-2-5</t>
  </si>
  <si>
    <t>Speed Bounce-2-6</t>
  </si>
  <si>
    <t>Speed Bounce-2-7</t>
  </si>
  <si>
    <t>Speed Bounce-2-8</t>
  </si>
  <si>
    <t>Speed Bounce-2-9</t>
  </si>
  <si>
    <t>Speed Bounce-2-10</t>
  </si>
  <si>
    <t>Speed Bounce-2-11</t>
  </si>
  <si>
    <t>Speed Bounce-2-12</t>
  </si>
  <si>
    <t>Speed Bounce-2-13</t>
  </si>
  <si>
    <t>Speed Bounce-2-14</t>
  </si>
  <si>
    <t>Speed Bounce-2-15</t>
  </si>
  <si>
    <t>Speed Bounce-2-16</t>
  </si>
  <si>
    <t>Speed Bounce-2-17</t>
  </si>
  <si>
    <t>Speed Bounce-2-18</t>
  </si>
  <si>
    <t>Speed Bounce-2-19</t>
  </si>
  <si>
    <t>Speed Bounce-2-20</t>
  </si>
  <si>
    <t>Speed Bounce-2-21</t>
  </si>
  <si>
    <t>Speed Bounce-2-22</t>
  </si>
  <si>
    <t>Speed Bounce-2-23</t>
  </si>
  <si>
    <t>Speed Bounce-2-24</t>
  </si>
  <si>
    <t>Speed Bounce-2-25</t>
  </si>
  <si>
    <t>Speed Bounce-2-26</t>
  </si>
  <si>
    <t>Speed Bounce-2-27</t>
  </si>
  <si>
    <t>Speed Bounce-2-28</t>
  </si>
  <si>
    <t>Speed Bounce-2-29</t>
  </si>
  <si>
    <t>Speed Bounce-2-30</t>
  </si>
  <si>
    <t>Speed Bounce-2-31</t>
  </si>
  <si>
    <t>Speed Bounce-2-32</t>
  </si>
  <si>
    <t>Speed Bounce-2-33</t>
  </si>
  <si>
    <t>Speed Bounce-2-34</t>
  </si>
  <si>
    <t>Speed Bounce-2-35</t>
  </si>
  <si>
    <t>Speed Bounce-2-36</t>
  </si>
  <si>
    <t>Speed Bounce-2-37</t>
  </si>
  <si>
    <t>Speed Bounce-2-38</t>
  </si>
  <si>
    <t>Speed Bounce-2-39</t>
  </si>
  <si>
    <t>Speed Bounce-2-40</t>
  </si>
  <si>
    <t>Speed Bounce-2-41</t>
  </si>
  <si>
    <t>Speed Bounce-2-42</t>
  </si>
  <si>
    <t>Speed Bounce-2-43</t>
  </si>
  <si>
    <t>Speed Bounce-2-44</t>
  </si>
  <si>
    <t>Speed Bounce-2-45</t>
  </si>
  <si>
    <t>Speed Bounce-2-46</t>
  </si>
  <si>
    <t>Speed Bounce-2-47</t>
  </si>
  <si>
    <t>Speed Bounce-2-48</t>
  </si>
  <si>
    <t>Speed Bounce-2-49</t>
  </si>
  <si>
    <t>Speed Bounce-2-50</t>
  </si>
  <si>
    <t>Speed Bounce-2-51</t>
  </si>
  <si>
    <t>Speed Bounce-2-52</t>
  </si>
  <si>
    <t>Speed Bounce-2-53</t>
  </si>
  <si>
    <t>Speed Bounce-2-54</t>
  </si>
  <si>
    <t>Speed Bounce-2-55</t>
  </si>
  <si>
    <t>Speed Bounce-2-56</t>
  </si>
  <si>
    <t>Speed Bounce-2-57</t>
  </si>
  <si>
    <t>Speed Bounce-2-58</t>
  </si>
  <si>
    <t>Speed Bounce-2-59</t>
  </si>
  <si>
    <t>Speed Bounce-2-60</t>
  </si>
  <si>
    <t>Speed Bounce-2-61</t>
  </si>
  <si>
    <t>Speed Bounce-2-62</t>
  </si>
  <si>
    <t>Speed Bounce-2-63</t>
  </si>
  <si>
    <t>Speed Bounce-2-64</t>
  </si>
  <si>
    <t>Speed Bounce-2-65</t>
  </si>
  <si>
    <t>Speed Bounce-2-66</t>
  </si>
  <si>
    <t>Speed Bounce-2-67</t>
  </si>
  <si>
    <t>Speed Bounce-2-68</t>
  </si>
  <si>
    <t>Speed Bounce-2-69</t>
  </si>
  <si>
    <t>Speed Bounce-2-70</t>
  </si>
  <si>
    <t>Speed Bounce-2-71</t>
  </si>
  <si>
    <t>Speed Bounce-2-72</t>
  </si>
  <si>
    <t>Speed Bounce-2-73</t>
  </si>
  <si>
    <t>Speed Bounce-2-74</t>
  </si>
  <si>
    <t>Speed Bounce-2-75</t>
  </si>
  <si>
    <t>Speed Bounce-2-76</t>
  </si>
  <si>
    <t>Speed Bounce-2-77</t>
  </si>
  <si>
    <t>Speed Bounce-2-78</t>
  </si>
  <si>
    <t>Speed Bounce-2-79</t>
  </si>
  <si>
    <t>Speed Bounce-2-80</t>
  </si>
  <si>
    <t>Speed Bounce-3-1</t>
  </si>
  <si>
    <t>Speed Bounce-3-2</t>
  </si>
  <si>
    <t>Speed Bounce-3-3</t>
  </si>
  <si>
    <t>Speed Bounce-3-4</t>
  </si>
  <si>
    <t>Speed Bounce-3-5</t>
  </si>
  <si>
    <t>Speed Bounce-3-6</t>
  </si>
  <si>
    <t>Speed Bounce-3-7</t>
  </si>
  <si>
    <t>Speed Bounce-3-8</t>
  </si>
  <si>
    <t>Speed Bounce-3-9</t>
  </si>
  <si>
    <t>Speed Bounce-3-10</t>
  </si>
  <si>
    <t>Speed Bounce-3-11</t>
  </si>
  <si>
    <t>Speed Bounce-3-12</t>
  </si>
  <si>
    <t>Speed Bounce-3-13</t>
  </si>
  <si>
    <t>Speed Bounce-3-14</t>
  </si>
  <si>
    <t>Speed Bounce-3-15</t>
  </si>
  <si>
    <t>Speed Bounce-3-16</t>
  </si>
  <si>
    <t>Speed Bounce-3-17</t>
  </si>
  <si>
    <t>Speed Bounce-3-18</t>
  </si>
  <si>
    <t>Speed Bounce-3-19</t>
  </si>
  <si>
    <t>Speed Bounce-3-20</t>
  </si>
  <si>
    <t>Speed Bounce-3-21</t>
  </si>
  <si>
    <t>Speed Bounce-3-22</t>
  </si>
  <si>
    <t>Speed Bounce-3-23</t>
  </si>
  <si>
    <t>Speed Bounce-3-24</t>
  </si>
  <si>
    <t>Speed Bounce-3-25</t>
  </si>
  <si>
    <t>Speed Bounce-3-26</t>
  </si>
  <si>
    <t>Speed Bounce-3-27</t>
  </si>
  <si>
    <t>Speed Bounce-3-28</t>
  </si>
  <si>
    <t>Speed Bounce-3-29</t>
  </si>
  <si>
    <t>Speed Bounce-3-30</t>
  </si>
  <si>
    <t>Speed Bounce-3-31</t>
  </si>
  <si>
    <t>Speed Bounce-3-32</t>
  </si>
  <si>
    <t>Speed Bounce-3-33</t>
  </si>
  <si>
    <t>Speed Bounce-3-34</t>
  </si>
  <si>
    <t>Speed Bounce-3-35</t>
  </si>
  <si>
    <t>Speed Bounce-3-36</t>
  </si>
  <si>
    <t>Speed Bounce-3-37</t>
  </si>
  <si>
    <t>Speed Bounce-3-38</t>
  </si>
  <si>
    <t>Speed Bounce-3-39</t>
  </si>
  <si>
    <t>Speed Bounce-3-40</t>
  </si>
  <si>
    <t>Speed Bounce-3-41</t>
  </si>
  <si>
    <t>Speed Bounce-3-42</t>
  </si>
  <si>
    <t>Speed Bounce-3-43</t>
  </si>
  <si>
    <t>Speed Bounce-3-44</t>
  </si>
  <si>
    <t>Speed Bounce-3-45</t>
  </si>
  <si>
    <t>Speed Bounce-3-46</t>
  </si>
  <si>
    <t>Speed Bounce-3-47</t>
  </si>
  <si>
    <t>Speed Bounce-3-48</t>
  </si>
  <si>
    <t>Speed Bounce-3-49</t>
  </si>
  <si>
    <t>Speed Bounce-3-50</t>
  </si>
  <si>
    <t>Speed Bounce-3-51</t>
  </si>
  <si>
    <t>Speed Bounce-3-52</t>
  </si>
  <si>
    <t>Speed Bounce-3-53</t>
  </si>
  <si>
    <t>Speed Bounce-3-54</t>
  </si>
  <si>
    <t>Speed Bounce-3-55</t>
  </si>
  <si>
    <t>Speed Bounce-3-56</t>
  </si>
  <si>
    <t>Speed Bounce-3-57</t>
  </si>
  <si>
    <t>Speed Bounce-3-58</t>
  </si>
  <si>
    <t>Speed Bounce-3-59</t>
  </si>
  <si>
    <t>Speed Bounce-3-60</t>
  </si>
  <si>
    <t>Speed Bounce-3-61</t>
  </si>
  <si>
    <t>Speed Bounce-3-62</t>
  </si>
  <si>
    <t>Speed Bounce-3-63</t>
  </si>
  <si>
    <t>Speed Bounce-3-64</t>
  </si>
  <si>
    <t>Speed Bounce-3-65</t>
  </si>
  <si>
    <t>Speed Bounce-3-66</t>
  </si>
  <si>
    <t>Speed Bounce-3-67</t>
  </si>
  <si>
    <t>Speed Bounce-3-68</t>
  </si>
  <si>
    <t>Speed Bounce-3-69</t>
  </si>
  <si>
    <t>Speed Bounce-3-70</t>
  </si>
  <si>
    <t>Speed Bounce-3-71</t>
  </si>
  <si>
    <t>Speed Bounce-3-72</t>
  </si>
  <si>
    <t>Speed Bounce-3-73</t>
  </si>
  <si>
    <t>Speed Bounce-3-74</t>
  </si>
  <si>
    <t>Speed Bounce-3-75</t>
  </si>
  <si>
    <t>Speed Bounce-3-76</t>
  </si>
  <si>
    <t>Speed Bounce-3-77</t>
  </si>
  <si>
    <t>Speed Bounce-3-78</t>
  </si>
  <si>
    <t>Speed Bounce-3-79</t>
  </si>
  <si>
    <t>Speed Bounce-3-80</t>
  </si>
  <si>
    <t>Speed Bounce-4-1</t>
  </si>
  <si>
    <t>Speed Bounce-4-2</t>
  </si>
  <si>
    <t>Speed Bounce-4-3</t>
  </si>
  <si>
    <t>Speed Bounce-4-4</t>
  </si>
  <si>
    <t>Speed Bounce-4-5</t>
  </si>
  <si>
    <t>Speed Bounce-4-6</t>
  </si>
  <si>
    <t>Speed Bounce-4-7</t>
  </si>
  <si>
    <t>Speed Bounce-4-8</t>
  </si>
  <si>
    <t>Speed Bounce-4-9</t>
  </si>
  <si>
    <t>Speed Bounce-4-10</t>
  </si>
  <si>
    <t>Speed Bounce-4-11</t>
  </si>
  <si>
    <t>Speed Bounce-4-12</t>
  </si>
  <si>
    <t>Speed Bounce-4-13</t>
  </si>
  <si>
    <t>Speed Bounce-4-14</t>
  </si>
  <si>
    <t>Speed Bounce-4-15</t>
  </si>
  <si>
    <t>Speed Bounce-4-16</t>
  </si>
  <si>
    <t>Speed Bounce-4-17</t>
  </si>
  <si>
    <t>Speed Bounce-4-18</t>
  </si>
  <si>
    <t>Speed Bounce-4-19</t>
  </si>
  <si>
    <t>Speed Bounce-4-20</t>
  </si>
  <si>
    <t>Speed Bounce-4-21</t>
  </si>
  <si>
    <t>Speed Bounce-4-22</t>
  </si>
  <si>
    <t>Speed Bounce-4-23</t>
  </si>
  <si>
    <t>Speed Bounce-4-24</t>
  </si>
  <si>
    <t>Speed Bounce-4-25</t>
  </si>
  <si>
    <t>Speed Bounce-4-26</t>
  </si>
  <si>
    <t>Speed Bounce-4-27</t>
  </si>
  <si>
    <t>Speed Bounce-4-28</t>
  </si>
  <si>
    <t>Speed Bounce-4-29</t>
  </si>
  <si>
    <t>Speed Bounce-4-30</t>
  </si>
  <si>
    <t>Speed Bounce-4-31</t>
  </si>
  <si>
    <t>Speed Bounce-4-32</t>
  </si>
  <si>
    <t>Speed Bounce-4-33</t>
  </si>
  <si>
    <t>Speed Bounce-4-34</t>
  </si>
  <si>
    <t>Speed Bounce-4-35</t>
  </si>
  <si>
    <t>Speed Bounce-4-36</t>
  </si>
  <si>
    <t>Speed Bounce-4-37</t>
  </si>
  <si>
    <t>Speed Bounce-4-38</t>
  </si>
  <si>
    <t>Speed Bounce-4-39</t>
  </si>
  <si>
    <t>Speed Bounce-4-40</t>
  </si>
  <si>
    <t>Speed Bounce-4-41</t>
  </si>
  <si>
    <t>Speed Bounce-4-42</t>
  </si>
  <si>
    <t>Speed Bounce-4-43</t>
  </si>
  <si>
    <t>Speed Bounce-4-44</t>
  </si>
  <si>
    <t>Speed Bounce-4-45</t>
  </si>
  <si>
    <t>Speed Bounce-4-46</t>
  </si>
  <si>
    <t>Speed Bounce-4-47</t>
  </si>
  <si>
    <t>Speed Bounce-4-48</t>
  </si>
  <si>
    <t>Speed Bounce-4-49</t>
  </si>
  <si>
    <t>Speed Bounce-4-50</t>
  </si>
  <si>
    <t>Speed Bounce-4-51</t>
  </si>
  <si>
    <t>Speed Bounce-4-52</t>
  </si>
  <si>
    <t>Speed Bounce-4-53</t>
  </si>
  <si>
    <t>Speed Bounce-4-54</t>
  </si>
  <si>
    <t>Speed Bounce-4-55</t>
  </si>
  <si>
    <t>Speed Bounce-4-56</t>
  </si>
  <si>
    <t>Speed Bounce-4-57</t>
  </si>
  <si>
    <t>Speed Bounce-4-58</t>
  </si>
  <si>
    <t>Speed Bounce-4-59</t>
  </si>
  <si>
    <t>Speed Bounce-4-60</t>
  </si>
  <si>
    <t>Speed Bounce-4-61</t>
  </si>
  <si>
    <t>Speed Bounce-4-62</t>
  </si>
  <si>
    <t>Speed Bounce-4-63</t>
  </si>
  <si>
    <t>Speed Bounce-4-64</t>
  </si>
  <si>
    <t>Speed Bounce-4-65</t>
  </si>
  <si>
    <t>Speed Bounce-4-66</t>
  </si>
  <si>
    <t>Speed Bounce-4-67</t>
  </si>
  <si>
    <t>Speed Bounce-4-68</t>
  </si>
  <si>
    <t>Speed Bounce-4-69</t>
  </si>
  <si>
    <t>Speed Bounce-4-70</t>
  </si>
  <si>
    <t>Speed Bounce-4-71</t>
  </si>
  <si>
    <t>Speed Bounce-4-72</t>
  </si>
  <si>
    <t>Speed Bounce-4-73</t>
  </si>
  <si>
    <t>Speed Bounce-4-74</t>
  </si>
  <si>
    <t>Speed Bounce-4-75</t>
  </si>
  <si>
    <t>Speed Bounce-4-76</t>
  </si>
  <si>
    <t>Speed Bounce-4-77</t>
  </si>
  <si>
    <t>Speed Bounce-4-78</t>
  </si>
  <si>
    <t>Speed Bounce-4-79</t>
  </si>
  <si>
    <t>Speed Bounce-4-80</t>
  </si>
  <si>
    <t>Target Throw-1-1</t>
  </si>
  <si>
    <t>Target Throw-1-2</t>
  </si>
  <si>
    <t>Target Throw-1-3</t>
  </si>
  <si>
    <t>Target Throw-1-4</t>
  </si>
  <si>
    <t>Target Throw-1-5</t>
  </si>
  <si>
    <t>Target Throw-1-6</t>
  </si>
  <si>
    <t>Target Throw-1-7</t>
  </si>
  <si>
    <t>Target Throw-1-8</t>
  </si>
  <si>
    <t>Target Throw-1-9</t>
  </si>
  <si>
    <t>Target Throw-1-10</t>
  </si>
  <si>
    <t>Target Throw-1-11</t>
  </si>
  <si>
    <t>Target Throw-1-12</t>
  </si>
  <si>
    <t>Target Throw-1-13</t>
  </si>
  <si>
    <t>Target Throw-1-14</t>
  </si>
  <si>
    <t>Target Throw-1-15</t>
  </si>
  <si>
    <t>Target Throw-1-16</t>
  </si>
  <si>
    <t>Target Throw-1-17</t>
  </si>
  <si>
    <t>Target Throw-1-18</t>
  </si>
  <si>
    <t>Target Throw-1-19</t>
  </si>
  <si>
    <t>Target Throw-1-20</t>
  </si>
  <si>
    <t>Target Throw-1-21</t>
  </si>
  <si>
    <t>Target Throw-1-22</t>
  </si>
  <si>
    <t>Target Throw-1-23</t>
  </si>
  <si>
    <t>Target Throw-1-24</t>
  </si>
  <si>
    <t>Target Throw-2-1</t>
  </si>
  <si>
    <t>Target Throw-2-2</t>
  </si>
  <si>
    <t>Target Throw-2-3</t>
  </si>
  <si>
    <t>Target Throw-2-4</t>
  </si>
  <si>
    <t>Target Throw-2-5</t>
  </si>
  <si>
    <t>Target Throw-2-6</t>
  </si>
  <si>
    <t>Target Throw-2-7</t>
  </si>
  <si>
    <t>Target Throw-2-8</t>
  </si>
  <si>
    <t>Target Throw-2-9</t>
  </si>
  <si>
    <t>Target Throw-2-10</t>
  </si>
  <si>
    <t>Target Throw-2-11</t>
  </si>
  <si>
    <t>Target Throw-2-12</t>
  </si>
  <si>
    <t>Target Throw-2-13</t>
  </si>
  <si>
    <t>Target Throw-2-14</t>
  </si>
  <si>
    <t>Target Throw-2-15</t>
  </si>
  <si>
    <t>Target Throw-2-16</t>
  </si>
  <si>
    <t>Target Throw-2-17</t>
  </si>
  <si>
    <t>Target Throw-2-18</t>
  </si>
  <si>
    <t>Target Throw-2-19</t>
  </si>
  <si>
    <t>Target Throw-2-20</t>
  </si>
  <si>
    <t>Target Throw-2-21</t>
  </si>
  <si>
    <t>Target Throw-2-22</t>
  </si>
  <si>
    <t>Target Throw-2-23</t>
  </si>
  <si>
    <t>Target Throw-2-24</t>
  </si>
  <si>
    <t>Target Throw-3-1</t>
  </si>
  <si>
    <t>Target Throw-3-2</t>
  </si>
  <si>
    <t>Target Throw-3-3</t>
  </si>
  <si>
    <t>Target Throw-3-4</t>
  </si>
  <si>
    <t>Target Throw-3-5</t>
  </si>
  <si>
    <t>Target Throw-3-6</t>
  </si>
  <si>
    <t>Target Throw-3-7</t>
  </si>
  <si>
    <t>Target Throw-3-8</t>
  </si>
  <si>
    <t>Target Throw-3-9</t>
  </si>
  <si>
    <t>Target Throw-3-10</t>
  </si>
  <si>
    <t>Target Throw-3-11</t>
  </si>
  <si>
    <t>Target Throw-3-12</t>
  </si>
  <si>
    <t>Target Throw-3-13</t>
  </si>
  <si>
    <t>Target Throw-3-14</t>
  </si>
  <si>
    <t>Target Throw-3-15</t>
  </si>
  <si>
    <t>Target Throw-3-16</t>
  </si>
  <si>
    <t>Target Throw-3-17</t>
  </si>
  <si>
    <t>Target Throw-3-18</t>
  </si>
  <si>
    <t>Target Throw-3-19</t>
  </si>
  <si>
    <t>Target Throw-3-20</t>
  </si>
  <si>
    <t>Target Throw-3-21</t>
  </si>
  <si>
    <t>Target Throw-3-22</t>
  </si>
  <si>
    <t>Target Throw-3-23</t>
  </si>
  <si>
    <t>Target Throw-3-24</t>
  </si>
  <si>
    <t>Target Throw-4-1</t>
  </si>
  <si>
    <t>Target Throw-4-2</t>
  </si>
  <si>
    <t>Target Throw-4-3</t>
  </si>
  <si>
    <t>Target Throw-4-4</t>
  </si>
  <si>
    <t>Target Throw-4-5</t>
  </si>
  <si>
    <t>Target Throw-4-6</t>
  </si>
  <si>
    <t>Target Throw-4-7</t>
  </si>
  <si>
    <t>Target Throw-4-8</t>
  </si>
  <si>
    <t>Target Throw-4-9</t>
  </si>
  <si>
    <t>Target Throw-4-10</t>
  </si>
  <si>
    <t>Target Throw-4-11</t>
  </si>
  <si>
    <t>Target Throw-4-12</t>
  </si>
  <si>
    <t>Target Throw-4-13</t>
  </si>
  <si>
    <t>Target Throw-4-14</t>
  </si>
  <si>
    <t>Target Throw-4-15</t>
  </si>
  <si>
    <t>Target Throw-4-16</t>
  </si>
  <si>
    <t>Target Throw-4-17</t>
  </si>
  <si>
    <t>Target Throw-4-18</t>
  </si>
  <si>
    <t>Target Throw-4-19</t>
  </si>
  <si>
    <t>Target Throw-4-20</t>
  </si>
  <si>
    <t>Target Throw-4-21</t>
  </si>
  <si>
    <t>Target Throw-4-22</t>
  </si>
  <si>
    <t>Target Throw-4-23</t>
  </si>
  <si>
    <t>Target Throw-4-24</t>
  </si>
  <si>
    <t>Hi-Stepper-1-12.7</t>
  </si>
  <si>
    <t>Hi-Stepper-1-12.8</t>
  </si>
  <si>
    <t>Hi-Stepper-1-12.9</t>
  </si>
  <si>
    <t>Hi-Stepper-1-13</t>
  </si>
  <si>
    <t>Hi-Stepper-1-13.1</t>
  </si>
  <si>
    <t>Hi-Stepper-1-13.2</t>
  </si>
  <si>
    <t>Hi-Stepper-1-13.3</t>
  </si>
  <si>
    <t>Hi-Stepper-1-13.4</t>
  </si>
  <si>
    <t>Hi-Stepper-1-13.5</t>
  </si>
  <si>
    <t>Hi-Stepper-1-13.6</t>
  </si>
  <si>
    <t>Hi-Stepper-1-13.7</t>
  </si>
  <si>
    <t>Hi-Stepper-1-13.8</t>
  </si>
  <si>
    <t>Hi-Stepper-1-13.9</t>
  </si>
  <si>
    <t>Hi-Stepper-1-14</t>
  </si>
  <si>
    <t>Hi-Stepper-1-14.1</t>
  </si>
  <si>
    <t>Hi-Stepper-1-14.2</t>
  </si>
  <si>
    <t>Hi-Stepper-1-14.3</t>
  </si>
  <si>
    <t>Hi-Stepper-1-14.4</t>
  </si>
  <si>
    <t>Hi-Stepper-1-14.5</t>
  </si>
  <si>
    <t>Hi-Stepper-1-14.6</t>
  </si>
  <si>
    <t>Hi-Stepper-1-14.7</t>
  </si>
  <si>
    <t>Hi-Stepper-1-14.8</t>
  </si>
  <si>
    <t>Hi-Stepper-1-14.9</t>
  </si>
  <si>
    <t>Hi-Stepper-1-15</t>
  </si>
  <si>
    <t>Hi-Stepper-1-15.1</t>
  </si>
  <si>
    <t>Hi-Stepper-1-15.2</t>
  </si>
  <si>
    <t>Hi-Stepper-1-15.3</t>
  </si>
  <si>
    <t>Hi-Stepper-1-15.4</t>
  </si>
  <si>
    <t>Hi-Stepper-1-15.5</t>
  </si>
  <si>
    <t>Hi-Stepper-1-15.6</t>
  </si>
  <si>
    <t>Hi-Stepper-1-15.7</t>
  </si>
  <si>
    <t>Hi-Stepper-1-15.8</t>
  </si>
  <si>
    <t>Hi-Stepper-1-15.9</t>
  </si>
  <si>
    <t>Hi-Stepper-1-16</t>
  </si>
  <si>
    <t>Hi-Stepper-1-16.1</t>
  </si>
  <si>
    <t>Hi-Stepper-1-16.2</t>
  </si>
  <si>
    <t>Hi-Stepper-1-16.3</t>
  </si>
  <si>
    <t>Hi-Stepper-1-16.4</t>
  </si>
  <si>
    <t>Hi-Stepper-1-16.5</t>
  </si>
  <si>
    <t>Hi-Stepper-1-16.6</t>
  </si>
  <si>
    <t>Hi-Stepper-1-16.7</t>
  </si>
  <si>
    <t>Hi-Stepper-1-16.8</t>
  </si>
  <si>
    <t>Hi-Stepper-1-16.9</t>
  </si>
  <si>
    <t>Hi-Stepper-1-17</t>
  </si>
  <si>
    <t>Hi-Stepper-1-17.1</t>
  </si>
  <si>
    <t>Hi-Stepper-1-17.2</t>
  </si>
  <si>
    <t>Hi-Stepper-1-17.3</t>
  </si>
  <si>
    <t>Hi-Stepper-1-17.4</t>
  </si>
  <si>
    <t>Hi-Stepper-1-17.5</t>
  </si>
  <si>
    <t>Hi-Stepper-1-17.6</t>
  </si>
  <si>
    <t>Hi-Stepper-1-17.7</t>
  </si>
  <si>
    <t>Hi-Stepper-1-17.8</t>
  </si>
  <si>
    <t>Hi-Stepper-1-17.9</t>
  </si>
  <si>
    <t>Hi-Stepper-1-18</t>
  </si>
  <si>
    <t>Hi-Stepper-1-18.1</t>
  </si>
  <si>
    <t>Hi-Stepper-1-18.2</t>
  </si>
  <si>
    <t>Hi-Stepper-1-18.3</t>
  </si>
  <si>
    <t>Hi-Stepper-1-18.4</t>
  </si>
  <si>
    <t>Hi-Stepper-1-18.5</t>
  </si>
  <si>
    <t>Hi-Stepper-1-18.6</t>
  </si>
  <si>
    <t>Hi-Stepper-1-18.7</t>
  </si>
  <si>
    <t>Hi-Stepper-1-18.8</t>
  </si>
  <si>
    <t>Hi-Stepper-1-18.9</t>
  </si>
  <si>
    <t>Hi-Stepper-1-19</t>
  </si>
  <si>
    <t>Hi-Stepper-1-19.1</t>
  </si>
  <si>
    <t>Hi-Stepper-1-19.2</t>
  </si>
  <si>
    <t>Hi-Stepper-1-19.3</t>
  </si>
  <si>
    <t>Hi-Stepper-1-19.4</t>
  </si>
  <si>
    <t>Hi-Stepper-1-19.5</t>
  </si>
  <si>
    <t>Hi-Stepper-1-19.6</t>
  </si>
  <si>
    <t>Hi-Stepper-1-19.7</t>
  </si>
  <si>
    <t>Hi-Stepper-1-19.8</t>
  </si>
  <si>
    <t>Hi-Stepper-1-19.9</t>
  </si>
  <si>
    <t>Hi-Stepper-1-20</t>
  </si>
  <si>
    <t>Hi-Stepper-1-20.1</t>
  </si>
  <si>
    <t>Hi-Stepper-1-20.2</t>
  </si>
  <si>
    <t>Hi-Stepper-1-20.3</t>
  </si>
  <si>
    <t>Hi-Stepper-1-20.4</t>
  </si>
  <si>
    <t>Hi-Stepper-1-20.5</t>
  </si>
  <si>
    <t>Hi-Stepper-1-20.6</t>
  </si>
  <si>
    <t>Hi-Stepper-1-20.7</t>
  </si>
  <si>
    <t>Hi-Stepper-1-20.8</t>
  </si>
  <si>
    <t>Hi-Stepper-1-20.9</t>
  </si>
  <si>
    <t>Hi-Stepper-1-21</t>
  </si>
  <si>
    <t>Hi-Stepper-1-21.1</t>
  </si>
  <si>
    <t>Hi-Stepper-1-21.2</t>
  </si>
  <si>
    <t>Hi-Stepper-1-21.3</t>
  </si>
  <si>
    <t>Hi-Stepper-1-21.4</t>
  </si>
  <si>
    <t>Hi-Stepper-1-21.5</t>
  </si>
  <si>
    <t>Hi-Stepper-1-21.6</t>
  </si>
  <si>
    <t>Hi-Stepper-1-21.7</t>
  </si>
  <si>
    <t>Hi-Stepper-1-21.8</t>
  </si>
  <si>
    <t>Hi-Stepper-1-21.9</t>
  </si>
  <si>
    <t>Hi-Stepper-1-22</t>
  </si>
  <si>
    <t>Hi-Stepper-1-22.1</t>
  </si>
  <si>
    <t>Hi-Stepper-1-22.2</t>
  </si>
  <si>
    <t>Hi-Stepper-1-22.3</t>
  </si>
  <si>
    <t>Hi-Stepper-1-22.4</t>
  </si>
  <si>
    <t>Hi-Stepper-1-22.5</t>
  </si>
  <si>
    <t>Hi-Stepper-1-22.6</t>
  </si>
  <si>
    <t>Hi-Stepper-1-22.7</t>
  </si>
  <si>
    <t>Hi-Stepper-1-22.8</t>
  </si>
  <si>
    <t>Hi-Stepper-1-22.9</t>
  </si>
  <si>
    <t>Hi-Stepper-1-23</t>
  </si>
  <si>
    <t>Hi-Stepper-1-23.1</t>
  </si>
  <si>
    <t>Hi-Stepper-1-23.2</t>
  </si>
  <si>
    <t>Hi-Stepper-1-23.3</t>
  </si>
  <si>
    <t>Hi-Stepper-1-23.4</t>
  </si>
  <si>
    <t>Hi-Stepper-1-23.5</t>
  </si>
  <si>
    <t>Hi-Stepper-1-23.6</t>
  </si>
  <si>
    <t>Hi-Stepper-1-23.7</t>
  </si>
  <si>
    <t>Hi-Stepper-1-23.8</t>
  </si>
  <si>
    <t>Hi-Stepper-1-23.9</t>
  </si>
  <si>
    <t>Hi-Stepper-1-24</t>
  </si>
  <si>
    <t>Hi-Stepper-1-24.1</t>
  </si>
  <si>
    <t>Hi-Stepper-1-24.2</t>
  </si>
  <si>
    <t>Hi-Stepper-1-24.3</t>
  </si>
  <si>
    <t>Hi-Stepper-1-24.4</t>
  </si>
  <si>
    <t>Hi-Stepper-1-24.5</t>
  </si>
  <si>
    <t>Hi-Stepper-1-24.6</t>
  </si>
  <si>
    <t>Hi-Stepper-1-24.7</t>
  </si>
  <si>
    <t>Hi-Stepper-1-24.8</t>
  </si>
  <si>
    <t>Hi-Stepper-1-24.9</t>
  </si>
  <si>
    <t>Hi-Stepper-1-25</t>
  </si>
  <si>
    <t>Hi-Stepper-1-25.1</t>
  </si>
  <si>
    <t>Hi-Stepper-1-25.2</t>
  </si>
  <si>
    <t>Hi-Stepper-1-25.3</t>
  </si>
  <si>
    <t>Hi-Stepper-1-25.4</t>
  </si>
  <si>
    <t>Hi-Stepper-1-25.5</t>
  </si>
  <si>
    <t>Hi-Stepper-1-25.6</t>
  </si>
  <si>
    <t>Hi-Stepper-1-25.7</t>
  </si>
  <si>
    <t>Hi-Stepper-1-25.8</t>
  </si>
  <si>
    <t>Hi-Stepper-1-25.9</t>
  </si>
  <si>
    <t>Hi-Stepper-1-26</t>
  </si>
  <si>
    <t>Hi-Stepper-1-26.1</t>
  </si>
  <si>
    <t>Hi-Stepper-1-26.2</t>
  </si>
  <si>
    <t>Hi-Stepper-1-26.3</t>
  </si>
  <si>
    <t>Hi-Stepper-1-26.4</t>
  </si>
  <si>
    <t>Hi-Stepper-1-26.5</t>
  </si>
  <si>
    <t>Hi-Stepper-1-26.6</t>
  </si>
  <si>
    <t>Hi-Stepper-1-26.7</t>
  </si>
  <si>
    <t>Hi-Stepper-1-26.8</t>
  </si>
  <si>
    <t>Hi-Stepper-1-26.9</t>
  </si>
  <si>
    <t>Hi-Stepper-1-27</t>
  </si>
  <si>
    <t>Hi-Stepper-1-27.1</t>
  </si>
  <si>
    <t>Hi-Stepper-1-27.2</t>
  </si>
  <si>
    <t>Hi-Stepper-1-27.3</t>
  </si>
  <si>
    <t>Hi-Stepper-1-27.4</t>
  </si>
  <si>
    <t>Hi-Stepper-1-27.5</t>
  </si>
  <si>
    <t>Hi-Stepper-1-27.6</t>
  </si>
  <si>
    <t>Hi-Stepper-1-27.7</t>
  </si>
  <si>
    <t>Hi-Stepper-1-27.8</t>
  </si>
  <si>
    <t>Hi-Stepper-1-27.9</t>
  </si>
  <si>
    <t>Hi-Stepper-1-28</t>
  </si>
  <si>
    <t>Hi-Stepper-1-28.1</t>
  </si>
  <si>
    <t>Hi-Stepper-1-28.2</t>
  </si>
  <si>
    <t>Hi-Stepper-1-28.3</t>
  </si>
  <si>
    <t>Hi-Stepper-1-28.4</t>
  </si>
  <si>
    <t>Hi-Stepper-1-28.5</t>
  </si>
  <si>
    <t>Hi-Stepper-1-28.6</t>
  </si>
  <si>
    <t>Hi-Stepper-1-28.7</t>
  </si>
  <si>
    <t>Hi-Stepper-1-28.8</t>
  </si>
  <si>
    <t>Hi-Stepper-1-28.9</t>
  </si>
  <si>
    <t>Hi-Stepper-1-29</t>
  </si>
  <si>
    <t>Hi-Stepper-1-29.1</t>
  </si>
  <si>
    <t>Hi-Stepper-1-29.2</t>
  </si>
  <si>
    <t>Hi-Stepper-1-29.3</t>
  </si>
  <si>
    <t>Hi-Stepper-1-29.4</t>
  </si>
  <si>
    <t>Hi-Stepper-1-29.5</t>
  </si>
  <si>
    <t>Hi-Stepper-1-29.6</t>
  </si>
  <si>
    <t>Hi-Stepper-1-29.7</t>
  </si>
  <si>
    <t>Hi-Stepper-1-29.8</t>
  </si>
  <si>
    <t>Hi-Stepper-1-29.9</t>
  </si>
  <si>
    <t>Hi-Stepper-1-30</t>
  </si>
  <si>
    <t>Hi-Stepper-1-30.1</t>
  </si>
  <si>
    <t>Hi-Stepper-1-30.2</t>
  </si>
  <si>
    <t>Hi-Stepper-1-30.3</t>
  </si>
  <si>
    <t>Hi-Stepper-1-30.4</t>
  </si>
  <si>
    <t>Hi-Stepper-1-30.5</t>
  </si>
  <si>
    <t>Hi-Stepper-1-30.6</t>
  </si>
  <si>
    <t>Hi-Stepper-1-30.7</t>
  </si>
  <si>
    <t>Hi-Stepper-1-30.8</t>
  </si>
  <si>
    <t>Hi-Stepper-1-30.9</t>
  </si>
  <si>
    <t>Hi-Stepper-1-31</t>
  </si>
  <si>
    <t>Hi-Stepper-1-31.1</t>
  </si>
  <si>
    <t>Hi-Stepper-1-31.2</t>
  </si>
  <si>
    <t>Hi-Stepper-1-31.3</t>
  </si>
  <si>
    <t>Hi-Stepper-1-31.4</t>
  </si>
  <si>
    <t>Hi-Stepper-1-31.5</t>
  </si>
  <si>
    <t>Hi-Stepper-1-31.6</t>
  </si>
  <si>
    <t>Hi-Stepper-1-31.7</t>
  </si>
  <si>
    <t>Hi-Stepper-1-31.8</t>
  </si>
  <si>
    <t>Hi-Stepper-1-31.9</t>
  </si>
  <si>
    <t>Hi-Stepper-1-32</t>
  </si>
  <si>
    <t>Hi-Stepper-1-32.1</t>
  </si>
  <si>
    <t>Hi-Stepper-1-32.2</t>
  </si>
  <si>
    <t>Hi-Stepper-1-32.3</t>
  </si>
  <si>
    <t>Hi-Stepper-1-32.4</t>
  </si>
  <si>
    <t>Hi-Stepper-1-32.5</t>
  </si>
  <si>
    <t>Hi-Stepper-1-32.6</t>
  </si>
  <si>
    <t>Hi-Stepper-1-32.7</t>
  </si>
  <si>
    <t>Hi-Stepper-1-32.8</t>
  </si>
  <si>
    <t>Hi-Stepper-1-32.9</t>
  </si>
  <si>
    <t>Hi-Stepper-1-33</t>
  </si>
  <si>
    <t>Hi-Stepper-1-33.1</t>
  </si>
  <si>
    <t>Hi-Stepper-1-33.2</t>
  </si>
  <si>
    <t>Hi-Stepper-1-33.3</t>
  </si>
  <si>
    <t>Hi-Stepper-1-33.4</t>
  </si>
  <si>
    <t>Hi-Stepper-1-33.5</t>
  </si>
  <si>
    <t>Hi-Stepper-1-33.6</t>
  </si>
  <si>
    <t>Hi-Stepper-1-33.7</t>
  </si>
  <si>
    <t>Hi-Stepper-1-33.8</t>
  </si>
  <si>
    <t>Hi-Stepper-1-33.9</t>
  </si>
  <si>
    <t>Hi-Stepper-1-34</t>
  </si>
  <si>
    <t>Hi-Stepper-1-34.1</t>
  </si>
  <si>
    <t>Hi-Stepper-1-34.2</t>
  </si>
  <si>
    <t>Hi-Stepper-1-34.3</t>
  </si>
  <si>
    <t>Hi-Stepper-1-34.4</t>
  </si>
  <si>
    <t>Hi-Stepper-1-34.5</t>
  </si>
  <si>
    <t>Hi-Stepper-1-34.6</t>
  </si>
  <si>
    <t>Hi-Stepper-1-34.7</t>
  </si>
  <si>
    <t>Hi-Stepper-1-34.8</t>
  </si>
  <si>
    <t>Hi-Stepper-1-34.9</t>
  </si>
  <si>
    <t>Hi-Stepper-1-35</t>
  </si>
  <si>
    <t>Hi-Stepper-1-35.1</t>
  </si>
  <si>
    <t>Hi-Stepper-1-35.2</t>
  </si>
  <si>
    <t>Hi-Stepper-1-35.3</t>
  </si>
  <si>
    <t>Hi-Stepper-1-35.4</t>
  </si>
  <si>
    <t>Hi-Stepper-1-35.5</t>
  </si>
  <si>
    <t>Hi-Stepper-1-35.6</t>
  </si>
  <si>
    <t>Hi-Stepper-1-35.7</t>
  </si>
  <si>
    <t>Hi-Stepper-1-35.8</t>
  </si>
  <si>
    <t>Hi-Stepper-1-35.9</t>
  </si>
  <si>
    <t>Hi-Stepper-1-36</t>
  </si>
  <si>
    <t>Hi-Stepper-1-36.1</t>
  </si>
  <si>
    <t>Hi-Stepper-1-36.2</t>
  </si>
  <si>
    <t>Hi-Stepper-1-36.3</t>
  </si>
  <si>
    <t>Hi-Stepper-1-36.4</t>
  </si>
  <si>
    <t>Hi-Stepper-1-36.5</t>
  </si>
  <si>
    <t>Hi-Stepper-1-36.6</t>
  </si>
  <si>
    <t>Hi-Stepper-1-36.7</t>
  </si>
  <si>
    <t>Hi-Stepper-1-36.8</t>
  </si>
  <si>
    <t>Hi-Stepper-1-36.9</t>
  </si>
  <si>
    <t>Hi-Stepper-1-37</t>
  </si>
  <si>
    <t>Hi-Stepper-1-37.1</t>
  </si>
  <si>
    <t>Hi-Stepper-1-37.2</t>
  </si>
  <si>
    <t>Hi-Stepper-1-37.3</t>
  </si>
  <si>
    <t>Hi-Stepper-1-37.4</t>
  </si>
  <si>
    <t>Hi-Stepper-1-37.5</t>
  </si>
  <si>
    <t>Hi-Stepper-1-37.6</t>
  </si>
  <si>
    <t>Hi-Stepper-1-37.7</t>
  </si>
  <si>
    <t>Hi-Stepper-1-37.8</t>
  </si>
  <si>
    <t>Hi-Stepper-1-37.9</t>
  </si>
  <si>
    <t>Hi-Stepper-1-38</t>
  </si>
  <si>
    <t>Hi-Stepper-1-38.1</t>
  </si>
  <si>
    <t>Hi-Stepper-1-38.2</t>
  </si>
  <si>
    <t>Hi-Stepper-1-38.3</t>
  </si>
  <si>
    <t>Hi-Stepper-1-38.4</t>
  </si>
  <si>
    <t>Hi-Stepper-1-38.5</t>
  </si>
  <si>
    <t>Hi-Stepper-1-38.6</t>
  </si>
  <si>
    <t>Hi-Stepper-1-38.7</t>
  </si>
  <si>
    <t>Hi-Stepper-1-38.8</t>
  </si>
  <si>
    <t>Hi-Stepper-1-38.9</t>
  </si>
  <si>
    <t>Hi-Stepper-1-39</t>
  </si>
  <si>
    <t>Hi-Stepper-1-39.1</t>
  </si>
  <si>
    <t>Hi-Stepper-1-39.2</t>
  </si>
  <si>
    <t>Hi-Stepper-1-39.3</t>
  </si>
  <si>
    <t>Hi-Stepper-1-39.4</t>
  </si>
  <si>
    <t>Hi-Stepper-1-39.5</t>
  </si>
  <si>
    <t>Hi-Stepper-1-39.6</t>
  </si>
  <si>
    <t>Hi-Stepper-1-39.7</t>
  </si>
  <si>
    <t>Hi-Stepper-1-39.8</t>
  </si>
  <si>
    <t>Hi-Stepper-1-39.9</t>
  </si>
  <si>
    <t>Hi-Stepper-1-40</t>
  </si>
  <si>
    <t>Hi-Stepper-1-40.1</t>
  </si>
  <si>
    <t>Hi-Stepper-1-40.2</t>
  </si>
  <si>
    <t>Hi-Stepper-1-40.3</t>
  </si>
  <si>
    <t>Hi-Stepper-1-40.4</t>
  </si>
  <si>
    <t>Hi-Stepper-1-40.5</t>
  </si>
  <si>
    <t>Hi-Stepper-1-40.6</t>
  </si>
  <si>
    <t>Hi-Stepper-1-40.7</t>
  </si>
  <si>
    <t>Hi-Stepper-1-40.8</t>
  </si>
  <si>
    <t>Hi-Stepper-1-40.9</t>
  </si>
  <si>
    <t>Hi-Stepper-1-41</t>
  </si>
  <si>
    <t>Hi-Stepper-1-41.1</t>
  </si>
  <si>
    <t>Hi-Stepper-1-41.2</t>
  </si>
  <si>
    <t>Hi-Stepper-1-41.3</t>
  </si>
  <si>
    <t>Hi-Stepper-1-41.4</t>
  </si>
  <si>
    <t>Hi-Stepper-1-41.5</t>
  </si>
  <si>
    <t>Hi-Stepper-1-41.6</t>
  </si>
  <si>
    <t>Hi-Stepper-1-41.7</t>
  </si>
  <si>
    <t>Hi-Stepper-1-41.8</t>
  </si>
  <si>
    <t>Hi-Stepper-1-41.9</t>
  </si>
  <si>
    <t>Hi-Stepper-1-42</t>
  </si>
  <si>
    <t>Hi-Stepper-1-42.1</t>
  </si>
  <si>
    <t>Hi-Stepper-1-42.2</t>
  </si>
  <si>
    <t>Hi-Stepper-1-42.3</t>
  </si>
  <si>
    <t>Hi-Stepper-1-42.4</t>
  </si>
  <si>
    <t>Hi-Stepper-1-42.5</t>
  </si>
  <si>
    <t>Hi-Stepper-1-42.6</t>
  </si>
  <si>
    <t>Hi-Stepper-1-42.7</t>
  </si>
  <si>
    <t>Hi-Stepper-1-42.8</t>
  </si>
  <si>
    <t>Hi-Stepper-1-42.9</t>
  </si>
  <si>
    <t>Hi-Stepper-1-43</t>
  </si>
  <si>
    <t>Hi-Stepper-1-43.1</t>
  </si>
  <si>
    <t>Hi-Stepper-1-43.2</t>
  </si>
  <si>
    <t>Hi-Stepper-1-43.3</t>
  </si>
  <si>
    <t>Hi-Stepper-1-43.4</t>
  </si>
  <si>
    <t>Hi-Stepper-1-43.5</t>
  </si>
  <si>
    <t>Hi-Stepper-1-43.6</t>
  </si>
  <si>
    <t>Hi-Stepper-1-43.7</t>
  </si>
  <si>
    <t>Hi-Stepper-1-43.8</t>
  </si>
  <si>
    <t>Hi-Stepper-1-43.9</t>
  </si>
  <si>
    <t>Hi-Stepper-1-44</t>
  </si>
  <si>
    <t>Hi-Stepper-1-44.1</t>
  </si>
  <si>
    <t>Hi-Stepper-1-44.2</t>
  </si>
  <si>
    <t>Hi-Stepper-1-44.3</t>
  </si>
  <si>
    <t>Hi-Stepper-1-44.4</t>
  </si>
  <si>
    <t>Hi-Stepper-1-44.5</t>
  </si>
  <si>
    <t>Hi-Stepper-1-44.6</t>
  </si>
  <si>
    <t>Hi-Stepper-1-44.7</t>
  </si>
  <si>
    <t>Hi-Stepper-1-44.8</t>
  </si>
  <si>
    <t>Hi-Stepper-1-44.9</t>
  </si>
  <si>
    <t>Hi-Stepper-1-45</t>
  </si>
  <si>
    <t>Hi-Stepper-1-45.1</t>
  </si>
  <si>
    <t>Hi-Stepper-1-45.2</t>
  </si>
  <si>
    <t>Hi-Stepper-1-45.3</t>
  </si>
  <si>
    <t>Hi-Stepper-1-45.4</t>
  </si>
  <si>
    <t>Hi-Stepper-1-45.5</t>
  </si>
  <si>
    <t>Hi-Stepper-1-45.6</t>
  </si>
  <si>
    <t>Hi-Stepper-1-45.7</t>
  </si>
  <si>
    <t>Hi-Stepper-1-45.8</t>
  </si>
  <si>
    <t>Hi-Stepper-1-45.9</t>
  </si>
  <si>
    <t>Hi-Stepper-1-46</t>
  </si>
  <si>
    <t>Hi-Stepper-1-46.1</t>
  </si>
  <si>
    <t>Hi-Stepper-1-46.2</t>
  </si>
  <si>
    <t>Hi-Stepper-1-46.3</t>
  </si>
  <si>
    <t>Hi-Stepper-1-46.4</t>
  </si>
  <si>
    <t>Hi-Stepper-1-46.5</t>
  </si>
  <si>
    <t>Hi-Stepper-1-46.6</t>
  </si>
  <si>
    <t>Hi-Stepper-1-46.7</t>
  </si>
  <si>
    <t>Hi-Stepper-1-46.8</t>
  </si>
  <si>
    <t>Hi-Stepper-1-46.9</t>
  </si>
  <si>
    <t>Hi-Stepper-1-47</t>
  </si>
  <si>
    <t>Hi-Stepper-1-47.1</t>
  </si>
  <si>
    <t>Hi-Stepper-1-47.2</t>
  </si>
  <si>
    <t>Hi-Stepper-1-47.3</t>
  </si>
  <si>
    <t>Hi-Stepper-1-47.4</t>
  </si>
  <si>
    <t>Hi-Stepper-1-47.5</t>
  </si>
  <si>
    <t>Hi-Stepper-1-47.6</t>
  </si>
  <si>
    <t>Hi-Stepper-1-47.7</t>
  </si>
  <si>
    <t>Hi-Stepper-1-47.8</t>
  </si>
  <si>
    <t>Hi-Stepper-1-47.9</t>
  </si>
  <si>
    <t>Hi-Stepper-1-48</t>
  </si>
  <si>
    <t>Hi-Stepper-1-48.1</t>
  </si>
  <si>
    <t>Hi-Stepper-1-48.2</t>
  </si>
  <si>
    <t>Hi-Stepper-1-48.3</t>
  </si>
  <si>
    <t>Hi-Stepper-1-48.4</t>
  </si>
  <si>
    <t>Hi-Stepper-1-48.5</t>
  </si>
  <si>
    <t>Hi-Stepper-1-48.6</t>
  </si>
  <si>
    <t>Hi-Stepper-1-48.7</t>
  </si>
  <si>
    <t>Hi-Stepper-1-48.8</t>
  </si>
  <si>
    <t>Hi-Stepper-1-48.9</t>
  </si>
  <si>
    <t>Hi-Stepper-1-49</t>
  </si>
  <si>
    <t>Hi-Stepper-1-49.1</t>
  </si>
  <si>
    <t>Hi-Stepper-1-49.2</t>
  </si>
  <si>
    <t>Hi-Stepper-1-49.3</t>
  </si>
  <si>
    <t>Hi-Stepper-1-49.4</t>
  </si>
  <si>
    <t>Hi-Stepper-1-49.5</t>
  </si>
  <si>
    <t>Hi-Stepper-1-49.6</t>
  </si>
  <si>
    <t>Hi-Stepper-1-49.7</t>
  </si>
  <si>
    <t>Hi-Stepper-1-49.8</t>
  </si>
  <si>
    <t>Hi-Stepper-1-49.9</t>
  </si>
  <si>
    <t>Hi-Stepper-1-50</t>
  </si>
  <si>
    <t>Hi-Stepper-1-50.1</t>
  </si>
  <si>
    <t>Hi-Stepper-1-50.2</t>
  </si>
  <si>
    <t>Hi-Stepper-1-50.3</t>
  </si>
  <si>
    <t>Hi-Stepper-1-50.4</t>
  </si>
  <si>
    <t>Hi-Stepper-1-50.5</t>
  </si>
  <si>
    <t>Hi-Stepper-1-50.6</t>
  </si>
  <si>
    <t>Hi-Stepper-1-50.7</t>
  </si>
  <si>
    <t>Hi-Stepper-1-50.8</t>
  </si>
  <si>
    <t>Hi-Stepper-1-50.9</t>
  </si>
  <si>
    <t>Hi-Stepper-1-51</t>
  </si>
  <si>
    <t>Hi-Stepper-1-51.1</t>
  </si>
  <si>
    <t>Hi-Stepper-1-51.2</t>
  </si>
  <si>
    <t>Hi-Stepper-1-51.3</t>
  </si>
  <si>
    <t>Hi-Stepper-1-51.4</t>
  </si>
  <si>
    <t>Hi-Stepper-1-51.5</t>
  </si>
  <si>
    <t>Hi-Stepper-1-51.6</t>
  </si>
  <si>
    <t>Hi-Stepper-1-51.7</t>
  </si>
  <si>
    <t>Hi-Stepper-1-51.8</t>
  </si>
  <si>
    <t>Hi-Stepper-1-51.9</t>
  </si>
  <si>
    <t>Hi-Stepper-1-52</t>
  </si>
  <si>
    <t>Hi-Stepper-1-52.1</t>
  </si>
  <si>
    <t>Hi-Stepper-1-52.2</t>
  </si>
  <si>
    <t>Hi-Stepper-1-52.3</t>
  </si>
  <si>
    <t>Hi-Stepper-1-52.4</t>
  </si>
  <si>
    <t>Hi-Stepper-1-52.5</t>
  </si>
  <si>
    <t>Hi-Stepper-1-52.6</t>
  </si>
  <si>
    <t>Hi-Stepper-1-52.7</t>
  </si>
  <si>
    <t>Hi-Stepper-1-52.8</t>
  </si>
  <si>
    <t>Hi-Stepper-1-52.9</t>
  </si>
  <si>
    <t>Hi-Stepper-1-53</t>
  </si>
  <si>
    <t>Hi-Stepper-1-53.1</t>
  </si>
  <si>
    <t>Hi-Stepper-1-53.2</t>
  </si>
  <si>
    <t>Hi-Stepper-1-53.3</t>
  </si>
  <si>
    <t>Hi-Stepper-1-53.4</t>
  </si>
  <si>
    <t>Hi-Stepper-1-53.5</t>
  </si>
  <si>
    <t>Hi-Stepper-1-53.6</t>
  </si>
  <si>
    <t>Hi-Stepper-1-53.7</t>
  </si>
  <si>
    <t>Hi-Stepper-1-53.8</t>
  </si>
  <si>
    <t>Hi-Stepper-1-53.9</t>
  </si>
  <si>
    <t>Hi-Stepper-1-54</t>
  </si>
  <si>
    <t>Hi-Stepper-1-54.1</t>
  </si>
  <si>
    <t>Hi-Stepper-1-54.2</t>
  </si>
  <si>
    <t>Hi-Stepper-1-54.3</t>
  </si>
  <si>
    <t>Hi-Stepper-1-54.4</t>
  </si>
  <si>
    <t>Hi-Stepper-1-54.5</t>
  </si>
  <si>
    <t>Hi-Stepper-1-54.6</t>
  </si>
  <si>
    <t>Hi-Stepper-1-54.7</t>
  </si>
  <si>
    <t>Hi-Stepper-1-54.8</t>
  </si>
  <si>
    <t>Hi-Stepper-1-54.9</t>
  </si>
  <si>
    <t>Hi-Stepper-1-55</t>
  </si>
  <si>
    <t>Hi-Stepper-1-55.1</t>
  </si>
  <si>
    <t>Hi-Stepper-1-55.2</t>
  </si>
  <si>
    <t>Hi-Stepper-1-55.3</t>
  </si>
  <si>
    <t>Hi-Stepper-1-55.4</t>
  </si>
  <si>
    <t>Hi-Stepper-1-55.5</t>
  </si>
  <si>
    <t>Hi-Stepper-1-55.6</t>
  </si>
  <si>
    <t>Hi-Stepper-1-55.7</t>
  </si>
  <si>
    <t>Hi-Stepper-1-55.8</t>
  </si>
  <si>
    <t>Hi-Stepper-1-55.9</t>
  </si>
  <si>
    <t>Hi-Stepper-1-56</t>
  </si>
  <si>
    <t>Hi-Stepper-1-56.1</t>
  </si>
  <si>
    <t>Hi-Stepper-1-56.2</t>
  </si>
  <si>
    <t>Hi-Stepper-1-56.3</t>
  </si>
  <si>
    <t>Hi-Stepper-1-56.4</t>
  </si>
  <si>
    <t>Hi-Stepper-1-56.5</t>
  </si>
  <si>
    <t>Hi-Stepper-1-56.6</t>
  </si>
  <si>
    <t>Hi-Stepper-1-56.7</t>
  </si>
  <si>
    <t>Hi-Stepper-1-56.8</t>
  </si>
  <si>
    <t>Hi-Stepper-1-56.9</t>
  </si>
  <si>
    <t>Hi-Stepper-1-57</t>
  </si>
  <si>
    <t>Hi-Stepper-1-57.1</t>
  </si>
  <si>
    <t>Hi-Stepper-1-57.2</t>
  </si>
  <si>
    <t>Hi-Stepper-1-57.3</t>
  </si>
  <si>
    <t>Hi-Stepper-1-57.4</t>
  </si>
  <si>
    <t>Hi-Stepper-1-57.5</t>
  </si>
  <si>
    <t>Hi-Stepper-1-57.6</t>
  </si>
  <si>
    <t>Hi-Stepper-1-57.7</t>
  </si>
  <si>
    <t>Hi-Stepper-1-57.8</t>
  </si>
  <si>
    <t>Hi-Stepper-1-57.9</t>
  </si>
  <si>
    <t>Hi-Stepper-1-58</t>
  </si>
  <si>
    <t>Hi-Stepper-1-58.1</t>
  </si>
  <si>
    <t>Hi-Stepper-1-58.2</t>
  </si>
  <si>
    <t>Hi-Stepper-1-58.3</t>
  </si>
  <si>
    <t>Hi-Stepper-1-58.4</t>
  </si>
  <si>
    <t>Hi-Stepper-1-58.5</t>
  </si>
  <si>
    <t>Hi-Stepper-1-58.6</t>
  </si>
  <si>
    <t>Hi-Stepper-1-58.7</t>
  </si>
  <si>
    <t>Hi-Stepper-1-58.8</t>
  </si>
  <si>
    <t>Hi-Stepper-1-58.9</t>
  </si>
  <si>
    <t>Hi-Stepper-1-59</t>
  </si>
  <si>
    <t>Hi-Stepper-1-59.1</t>
  </si>
  <si>
    <t>Hi-Stepper-1-59.2</t>
  </si>
  <si>
    <t>Hi-Stepper-1-59.3</t>
  </si>
  <si>
    <t>Hi-Stepper-1-59.4</t>
  </si>
  <si>
    <t>Hi-Stepper-1-59.5</t>
  </si>
  <si>
    <t>Hi-Stepper-1-59.6</t>
  </si>
  <si>
    <t>Hi-Stepper-1-59.7</t>
  </si>
  <si>
    <t>Hi-Stepper-1-59.8</t>
  </si>
  <si>
    <t>Hi-Stepper-1-59.9</t>
  </si>
  <si>
    <t>Hi-Stepper-1-60</t>
  </si>
  <si>
    <t>Hi-Stepper-1-60.1</t>
  </si>
  <si>
    <t>Hi-Stepper-1-60.2</t>
  </si>
  <si>
    <t>Hi-Stepper-1-60.3</t>
  </si>
  <si>
    <t>Hi-Stepper-1-60.4</t>
  </si>
  <si>
    <t>Hi-Stepper-1-60.5</t>
  </si>
  <si>
    <t>Hi-Stepper-1-60.6</t>
  </si>
  <si>
    <t>Hi-Stepper-1-60.7</t>
  </si>
  <si>
    <t>Hi-Stepper-1-60.8</t>
  </si>
  <si>
    <t>Hi-Stepper-1-60.9</t>
  </si>
  <si>
    <t>Hi-Stepper-1-61</t>
  </si>
  <si>
    <t>Hi-Stepper-1-61.1</t>
  </si>
  <si>
    <t>Hi-Stepper-1-61.2</t>
  </si>
  <si>
    <t>Hi-Stepper-1-61.3</t>
  </si>
  <si>
    <t>Hi-Stepper-1-61.4</t>
  </si>
  <si>
    <t>Hi-Stepper-1-61.5</t>
  </si>
  <si>
    <t>Hi-Stepper-1-61.6</t>
  </si>
  <si>
    <t>Hi-Stepper-1-61.7</t>
  </si>
  <si>
    <t>Hi-Stepper-1-61.8</t>
  </si>
  <si>
    <t>Hi-Stepper-1-61.9</t>
  </si>
  <si>
    <t>Hi-Stepper-1-62</t>
  </si>
  <si>
    <t>Hi-Stepper-1-62.1</t>
  </si>
  <si>
    <t>Hi-Stepper-1-62.2</t>
  </si>
  <si>
    <t>Hi-Stepper-1-62.3</t>
  </si>
  <si>
    <t>Hi-Stepper-1-62.4</t>
  </si>
  <si>
    <t>Hi-Stepper-1-62.5</t>
  </si>
  <si>
    <t>Hi-Stepper-1-62.6</t>
  </si>
  <si>
    <t>Hi-Stepper-1-62.7</t>
  </si>
  <si>
    <t>Hi-Stepper-1-62.8</t>
  </si>
  <si>
    <t>Hi-Stepper-1-62.9</t>
  </si>
  <si>
    <t>Hi-Stepper-1-63</t>
  </si>
  <si>
    <t>Hi-Stepper-1-63.1</t>
  </si>
  <si>
    <t>Hi-Stepper-1-63.2</t>
  </si>
  <si>
    <t>Hi-Stepper-1-63.3</t>
  </si>
  <si>
    <t>Hi-Stepper-1-63.4</t>
  </si>
  <si>
    <t>Hi-Stepper-1-63.5</t>
  </si>
  <si>
    <t>Hi-Stepper-1-63.6</t>
  </si>
  <si>
    <t>Hi-Stepper-1-63.7</t>
  </si>
  <si>
    <t>Hi-Stepper-1-63.8</t>
  </si>
  <si>
    <t>Hi-Stepper-1-63.9</t>
  </si>
  <si>
    <t>Hi-Stepper-1-64</t>
  </si>
  <si>
    <t>Hi-Stepper-1-64.1</t>
  </si>
  <si>
    <t>Hi-Stepper-1-64.2</t>
  </si>
  <si>
    <t>Hi-Stepper-1-64.3</t>
  </si>
  <si>
    <t>Hi-Stepper-1-64.4</t>
  </si>
  <si>
    <t>Hi-Stepper-1-64.5</t>
  </si>
  <si>
    <t>Hi-Stepper-1-64.6</t>
  </si>
  <si>
    <t>Hi-Stepper-1-64.7</t>
  </si>
  <si>
    <t>Hi-Stepper-1-64.8</t>
  </si>
  <si>
    <t>Hi-Stepper-1-64.9</t>
  </si>
  <si>
    <t>Hi-Stepper-1-65</t>
  </si>
  <si>
    <t>Hi-Stepper-1-65.1</t>
  </si>
  <si>
    <t>Hi-Stepper-1-65.2</t>
  </si>
  <si>
    <t>Hi-Stepper-1-65.3</t>
  </si>
  <si>
    <t>Hi-Stepper-1-65.4</t>
  </si>
  <si>
    <t>Hi-Stepper-1-65.5</t>
  </si>
  <si>
    <t>Hi-Stepper-1-65.6</t>
  </si>
  <si>
    <t>Hi-Stepper-1-65.7</t>
  </si>
  <si>
    <t>Hi-Stepper-1-65.8</t>
  </si>
  <si>
    <t>Hi-Stepper-1-65.9</t>
  </si>
  <si>
    <t>Hi-Stepper-1-66</t>
  </si>
  <si>
    <t>Hi-Stepper-1-66.1</t>
  </si>
  <si>
    <t>Hi-Stepper-1-66.2</t>
  </si>
  <si>
    <t>Hi-Stepper-1-66.3</t>
  </si>
  <si>
    <t>Hi-Stepper-1-66.4</t>
  </si>
  <si>
    <t>Hi-Stepper-1-66.5</t>
  </si>
  <si>
    <t>Hi-Stepper-1-66.6</t>
  </si>
  <si>
    <t>Hi-Stepper-1-66.7</t>
  </si>
  <si>
    <t>Hi-Stepper-1-66.8</t>
  </si>
  <si>
    <t>Hi-Stepper-1-66.9</t>
  </si>
  <si>
    <t>Hi-Stepper-1-67</t>
  </si>
  <si>
    <t>Hi-Stepper-1-67.1</t>
  </si>
  <si>
    <t>Hi-Stepper-1-67.2</t>
  </si>
  <si>
    <t>Hi-Stepper-1-67.3</t>
  </si>
  <si>
    <t>Hi-Stepper-1-67.4</t>
  </si>
  <si>
    <t>Hi-Stepper-1-67.5</t>
  </si>
  <si>
    <t>Hi-Stepper-1-67.6</t>
  </si>
  <si>
    <t>Hi-Stepper-1-67.7</t>
  </si>
  <si>
    <t>Hi-Stepper-1-67.8</t>
  </si>
  <si>
    <t>Hi-Stepper-1-67.9</t>
  </si>
  <si>
    <t>Hi-Stepper-1-68</t>
  </si>
  <si>
    <t>Hi-Stepper-1-68.1</t>
  </si>
  <si>
    <t>Hi-Stepper-1-68.2</t>
  </si>
  <si>
    <t>Hi-Stepper-1-68.3</t>
  </si>
  <si>
    <t>Hi-Stepper-1-68.4</t>
  </si>
  <si>
    <t>Hi-Stepper-1-68.5</t>
  </si>
  <si>
    <t>Hi-Stepper-1-68.6</t>
  </si>
  <si>
    <t>Hi-Stepper-1-68.7</t>
  </si>
  <si>
    <t>Hi-Stepper-1-68.8</t>
  </si>
  <si>
    <t>Hi-Stepper-1-68.9</t>
  </si>
  <si>
    <t>Hi-Stepper-1-69</t>
  </si>
  <si>
    <t>Hi-Stepper-1-69.1</t>
  </si>
  <si>
    <t>Hi-Stepper-1-69.2</t>
  </si>
  <si>
    <t>Hi-Stepper-1-69.3</t>
  </si>
  <si>
    <t>Hi-Stepper-1-69.4</t>
  </si>
  <si>
    <t>Hi-Stepper-1-69.5</t>
  </si>
  <si>
    <t>Hi-Stepper-1-69.6</t>
  </si>
  <si>
    <t>Hi-Stepper-1-69.7</t>
  </si>
  <si>
    <t>Hi-Stepper-1-69.8</t>
  </si>
  <si>
    <t>Hi-Stepper-1-69.9</t>
  </si>
  <si>
    <t>Hi-Stepper-1-70</t>
  </si>
  <si>
    <t>Hi-Stepper-2-12.7</t>
  </si>
  <si>
    <t>Hi-Stepper-2-12.8</t>
  </si>
  <si>
    <t>Hi-Stepper-2-12.9</t>
  </si>
  <si>
    <t>Hi-Stepper-2-13</t>
  </si>
  <si>
    <t>Hi-Stepper-2-13.1</t>
  </si>
  <si>
    <t>Hi-Stepper-2-13.2</t>
  </si>
  <si>
    <t>Hi-Stepper-2-13.3</t>
  </si>
  <si>
    <t>Hi-Stepper-2-13.4</t>
  </si>
  <si>
    <t>Hi-Stepper-2-13.5</t>
  </si>
  <si>
    <t>Hi-Stepper-2-13.6</t>
  </si>
  <si>
    <t>Hi-Stepper-2-13.7</t>
  </si>
  <si>
    <t>Hi-Stepper-2-13.8</t>
  </si>
  <si>
    <t>Hi-Stepper-2-13.9</t>
  </si>
  <si>
    <t>Hi-Stepper-2-14</t>
  </si>
  <si>
    <t>Hi-Stepper-2-14.1</t>
  </si>
  <si>
    <t>Hi-Stepper-2-14.2</t>
  </si>
  <si>
    <t>Hi-Stepper-2-14.3</t>
  </si>
  <si>
    <t>Hi-Stepper-2-14.4</t>
  </si>
  <si>
    <t>Hi-Stepper-2-14.5</t>
  </si>
  <si>
    <t>Hi-Stepper-2-14.6</t>
  </si>
  <si>
    <t>Hi-Stepper-2-14.7</t>
  </si>
  <si>
    <t>Hi-Stepper-2-14.8</t>
  </si>
  <si>
    <t>Hi-Stepper-2-14.9</t>
  </si>
  <si>
    <t>Hi-Stepper-2-15</t>
  </si>
  <si>
    <t>Hi-Stepper-2-15.1</t>
  </si>
  <si>
    <t>Hi-Stepper-2-15.2</t>
  </si>
  <si>
    <t>Hi-Stepper-2-15.3</t>
  </si>
  <si>
    <t>Hi-Stepper-2-15.4</t>
  </si>
  <si>
    <t>Hi-Stepper-2-15.5</t>
  </si>
  <si>
    <t>Hi-Stepper-2-15.6</t>
  </si>
  <si>
    <t>Hi-Stepper-2-15.7</t>
  </si>
  <si>
    <t>Hi-Stepper-2-15.8</t>
  </si>
  <si>
    <t>Hi-Stepper-2-15.9</t>
  </si>
  <si>
    <t>Hi-Stepper-2-16</t>
  </si>
  <si>
    <t>Hi-Stepper-2-16.1</t>
  </si>
  <si>
    <t>Hi-Stepper-2-16.2</t>
  </si>
  <si>
    <t>Hi-Stepper-2-16.3</t>
  </si>
  <si>
    <t>Hi-Stepper-2-16.4</t>
  </si>
  <si>
    <t>Hi-Stepper-2-16.5</t>
  </si>
  <si>
    <t>Hi-Stepper-2-16.6</t>
  </si>
  <si>
    <t>Hi-Stepper-2-16.7</t>
  </si>
  <si>
    <t>Hi-Stepper-2-16.8</t>
  </si>
  <si>
    <t>Hi-Stepper-2-16.9</t>
  </si>
  <si>
    <t>Hi-Stepper-2-17</t>
  </si>
  <si>
    <t>Hi-Stepper-2-17.1</t>
  </si>
  <si>
    <t>Hi-Stepper-2-17.2</t>
  </si>
  <si>
    <t>Hi-Stepper-2-17.3</t>
  </si>
  <si>
    <t>Hi-Stepper-2-17.4</t>
  </si>
  <si>
    <t>Hi-Stepper-2-17.5</t>
  </si>
  <si>
    <t>Hi-Stepper-2-17.6</t>
  </si>
  <si>
    <t>Hi-Stepper-2-17.7</t>
  </si>
  <si>
    <t>Hi-Stepper-2-17.8</t>
  </si>
  <si>
    <t>Hi-Stepper-2-17.9</t>
  </si>
  <si>
    <t>Hi-Stepper-2-18</t>
  </si>
  <si>
    <t>Hi-Stepper-2-18.1</t>
  </si>
  <si>
    <t>Hi-Stepper-2-18.2</t>
  </si>
  <si>
    <t>Hi-Stepper-2-18.3</t>
  </si>
  <si>
    <t>Hi-Stepper-2-18.4</t>
  </si>
  <si>
    <t>Hi-Stepper-2-18.5</t>
  </si>
  <si>
    <t>Hi-Stepper-2-18.6</t>
  </si>
  <si>
    <t>Hi-Stepper-2-18.7</t>
  </si>
  <si>
    <t>Hi-Stepper-2-18.8</t>
  </si>
  <si>
    <t>Hi-Stepper-2-18.9</t>
  </si>
  <si>
    <t>Hi-Stepper-2-19</t>
  </si>
  <si>
    <t>Hi-Stepper-2-19.1</t>
  </si>
  <si>
    <t>Hi-Stepper-2-19.2</t>
  </si>
  <si>
    <t>Hi-Stepper-2-19.3</t>
  </si>
  <si>
    <t>Hi-Stepper-2-19.4</t>
  </si>
  <si>
    <t>Hi-Stepper-2-19.5</t>
  </si>
  <si>
    <t>Hi-Stepper-2-19.6</t>
  </si>
  <si>
    <t>Hi-Stepper-2-19.7</t>
  </si>
  <si>
    <t>Hi-Stepper-2-19.8</t>
  </si>
  <si>
    <t>Hi-Stepper-2-19.9</t>
  </si>
  <si>
    <t>Hi-Stepper-2-20</t>
  </si>
  <si>
    <t>Hi-Stepper-2-20.1</t>
  </si>
  <si>
    <t>Hi-Stepper-2-20.2</t>
  </si>
  <si>
    <t>Hi-Stepper-2-20.3</t>
  </si>
  <si>
    <t>Hi-Stepper-2-20.4</t>
  </si>
  <si>
    <t>Hi-Stepper-2-20.5</t>
  </si>
  <si>
    <t>Hi-Stepper-2-20.6</t>
  </si>
  <si>
    <t>Hi-Stepper-2-20.7</t>
  </si>
  <si>
    <t>Hi-Stepper-2-20.8</t>
  </si>
  <si>
    <t>Hi-Stepper-2-20.9</t>
  </si>
  <si>
    <t>Hi-Stepper-2-21</t>
  </si>
  <si>
    <t>Hi-Stepper-2-21.1</t>
  </si>
  <si>
    <t>Hi-Stepper-2-21.2</t>
  </si>
  <si>
    <t>Hi-Stepper-2-21.3</t>
  </si>
  <si>
    <t>Hi-Stepper-2-21.4</t>
  </si>
  <si>
    <t>Hi-Stepper-2-21.5</t>
  </si>
  <si>
    <t>Hi-Stepper-2-21.6</t>
  </si>
  <si>
    <t>Hi-Stepper-2-21.7</t>
  </si>
  <si>
    <t>Hi-Stepper-2-21.8</t>
  </si>
  <si>
    <t>Hi-Stepper-2-21.9</t>
  </si>
  <si>
    <t>Hi-Stepper-2-22</t>
  </si>
  <si>
    <t>Hi-Stepper-2-22.1</t>
  </si>
  <si>
    <t>Hi-Stepper-2-22.2</t>
  </si>
  <si>
    <t>Hi-Stepper-2-22.3</t>
  </si>
  <si>
    <t>Hi-Stepper-2-22.4</t>
  </si>
  <si>
    <t>Hi-Stepper-2-22.5</t>
  </si>
  <si>
    <t>Hi-Stepper-2-22.6</t>
  </si>
  <si>
    <t>Hi-Stepper-2-22.7</t>
  </si>
  <si>
    <t>Hi-Stepper-2-22.8</t>
  </si>
  <si>
    <t>Hi-Stepper-2-22.9</t>
  </si>
  <si>
    <t>Hi-Stepper-2-23</t>
  </si>
  <si>
    <t>Hi-Stepper-2-23.1</t>
  </si>
  <si>
    <t>Hi-Stepper-2-23.2</t>
  </si>
  <si>
    <t>Hi-Stepper-2-23.3</t>
  </si>
  <si>
    <t>Hi-Stepper-2-23.4</t>
  </si>
  <si>
    <t>Hi-Stepper-2-23.5</t>
  </si>
  <si>
    <t>Hi-Stepper-2-23.6</t>
  </si>
  <si>
    <t>Hi-Stepper-2-23.7</t>
  </si>
  <si>
    <t>Hi-Stepper-2-23.8</t>
  </si>
  <si>
    <t>Hi-Stepper-2-23.9</t>
  </si>
  <si>
    <t>Hi-Stepper-2-24</t>
  </si>
  <si>
    <t>Hi-Stepper-2-24.1</t>
  </si>
  <si>
    <t>Hi-Stepper-2-24.2</t>
  </si>
  <si>
    <t>Hi-Stepper-2-24.3</t>
  </si>
  <si>
    <t>Hi-Stepper-2-24.4</t>
  </si>
  <si>
    <t>Hi-Stepper-2-24.5</t>
  </si>
  <si>
    <t>Hi-Stepper-2-24.6</t>
  </si>
  <si>
    <t>Hi-Stepper-2-24.7</t>
  </si>
  <si>
    <t>Hi-Stepper-2-24.8</t>
  </si>
  <si>
    <t>Hi-Stepper-2-24.9</t>
  </si>
  <si>
    <t>Hi-Stepper-2-25</t>
  </si>
  <si>
    <t>Hi-Stepper-2-25.1</t>
  </si>
  <si>
    <t>Hi-Stepper-2-25.2</t>
  </si>
  <si>
    <t>Hi-Stepper-2-25.3</t>
  </si>
  <si>
    <t>Hi-Stepper-2-25.4</t>
  </si>
  <si>
    <t>Hi-Stepper-2-25.5</t>
  </si>
  <si>
    <t>Hi-Stepper-2-25.6</t>
  </si>
  <si>
    <t>Hi-Stepper-2-25.7</t>
  </si>
  <si>
    <t>Hi-Stepper-2-25.8</t>
  </si>
  <si>
    <t>Hi-Stepper-2-25.9</t>
  </si>
  <si>
    <t>Hi-Stepper-2-26</t>
  </si>
  <si>
    <t>Hi-Stepper-2-26.1</t>
  </si>
  <si>
    <t>Hi-Stepper-2-26.2</t>
  </si>
  <si>
    <t>Hi-Stepper-2-26.3</t>
  </si>
  <si>
    <t>Hi-Stepper-2-26.4</t>
  </si>
  <si>
    <t>Hi-Stepper-2-26.5</t>
  </si>
  <si>
    <t>Hi-Stepper-2-26.6</t>
  </si>
  <si>
    <t>Hi-Stepper-2-26.7</t>
  </si>
  <si>
    <t>Hi-Stepper-2-26.8</t>
  </si>
  <si>
    <t>Hi-Stepper-2-26.9</t>
  </si>
  <si>
    <t>Hi-Stepper-2-27</t>
  </si>
  <si>
    <t>Hi-Stepper-2-27.1</t>
  </si>
  <si>
    <t>Hi-Stepper-2-27.2</t>
  </si>
  <si>
    <t>Hi-Stepper-2-27.3</t>
  </si>
  <si>
    <t>Hi-Stepper-2-27.4</t>
  </si>
  <si>
    <t>Hi-Stepper-2-27.5</t>
  </si>
  <si>
    <t>Hi-Stepper-2-27.6</t>
  </si>
  <si>
    <t>Hi-Stepper-2-27.7</t>
  </si>
  <si>
    <t>Hi-Stepper-2-27.8</t>
  </si>
  <si>
    <t>Hi-Stepper-2-27.9</t>
  </si>
  <si>
    <t>Hi-Stepper-2-28</t>
  </si>
  <si>
    <t>Hi-Stepper-2-28.1</t>
  </si>
  <si>
    <t>Hi-Stepper-2-28.2</t>
  </si>
  <si>
    <t>Hi-Stepper-2-28.3</t>
  </si>
  <si>
    <t>Hi-Stepper-2-28.4</t>
  </si>
  <si>
    <t>Hi-Stepper-2-28.5</t>
  </si>
  <si>
    <t>Hi-Stepper-2-28.6</t>
  </si>
  <si>
    <t>Hi-Stepper-2-28.7</t>
  </si>
  <si>
    <t>Hi-Stepper-2-28.8</t>
  </si>
  <si>
    <t>Hi-Stepper-2-28.9</t>
  </si>
  <si>
    <t>Hi-Stepper-2-29</t>
  </si>
  <si>
    <t>Hi-Stepper-2-29.1</t>
  </si>
  <si>
    <t>Hi-Stepper-2-29.2</t>
  </si>
  <si>
    <t>Hi-Stepper-2-29.3</t>
  </si>
  <si>
    <t>Hi-Stepper-2-29.4</t>
  </si>
  <si>
    <t>Hi-Stepper-2-29.5</t>
  </si>
  <si>
    <t>Hi-Stepper-2-29.6</t>
  </si>
  <si>
    <t>Hi-Stepper-2-29.7</t>
  </si>
  <si>
    <t>Hi-Stepper-2-29.8</t>
  </si>
  <si>
    <t>Hi-Stepper-2-29.9</t>
  </si>
  <si>
    <t>Hi-Stepper-2-30</t>
  </si>
  <si>
    <t>Hi-Stepper-2-30.1</t>
  </si>
  <si>
    <t>Hi-Stepper-2-30.2</t>
  </si>
  <si>
    <t>Hi-Stepper-2-30.3</t>
  </si>
  <si>
    <t>Hi-Stepper-2-30.4</t>
  </si>
  <si>
    <t>Hi-Stepper-2-30.5</t>
  </si>
  <si>
    <t>Hi-Stepper-2-30.6</t>
  </si>
  <si>
    <t>Hi-Stepper-2-30.7</t>
  </si>
  <si>
    <t>Hi-Stepper-2-30.8</t>
  </si>
  <si>
    <t>Hi-Stepper-2-30.9</t>
  </si>
  <si>
    <t>Hi-Stepper-2-31</t>
  </si>
  <si>
    <t>Hi-Stepper-2-31.1</t>
  </si>
  <si>
    <t>Hi-Stepper-2-31.2</t>
  </si>
  <si>
    <t>Hi-Stepper-2-31.3</t>
  </si>
  <si>
    <t>Hi-Stepper-2-31.4</t>
  </si>
  <si>
    <t>Hi-Stepper-2-31.5</t>
  </si>
  <si>
    <t>Hi-Stepper-2-31.6</t>
  </si>
  <si>
    <t>Hi-Stepper-2-31.7</t>
  </si>
  <si>
    <t>Hi-Stepper-2-31.8</t>
  </si>
  <si>
    <t>Hi-Stepper-2-31.9</t>
  </si>
  <si>
    <t>Hi-Stepper-2-32</t>
  </si>
  <si>
    <t>Hi-Stepper-2-32.1</t>
  </si>
  <si>
    <t>Hi-Stepper-2-32.2</t>
  </si>
  <si>
    <t>Hi-Stepper-2-32.3</t>
  </si>
  <si>
    <t>Hi-Stepper-2-32.4</t>
  </si>
  <si>
    <t>Hi-Stepper-2-32.5</t>
  </si>
  <si>
    <t>Hi-Stepper-2-32.6</t>
  </si>
  <si>
    <t>Hi-Stepper-2-32.7</t>
  </si>
  <si>
    <t>Hi-Stepper-2-32.8</t>
  </si>
  <si>
    <t>Hi-Stepper-2-32.9</t>
  </si>
  <si>
    <t>Hi-Stepper-2-33</t>
  </si>
  <si>
    <t>Hi-Stepper-2-33.1</t>
  </si>
  <si>
    <t>Hi-Stepper-2-33.2</t>
  </si>
  <si>
    <t>Hi-Stepper-2-33.3</t>
  </si>
  <si>
    <t>Hi-Stepper-2-33.4</t>
  </si>
  <si>
    <t>Hi-Stepper-2-33.5</t>
  </si>
  <si>
    <t>Hi-Stepper-2-33.6</t>
  </si>
  <si>
    <t>Hi-Stepper-2-33.7</t>
  </si>
  <si>
    <t>Hi-Stepper-2-33.8</t>
  </si>
  <si>
    <t>Hi-Stepper-2-33.9</t>
  </si>
  <si>
    <t>Hi-Stepper-2-34</t>
  </si>
  <si>
    <t>Hi-Stepper-2-34.1</t>
  </si>
  <si>
    <t>Hi-Stepper-2-34.2</t>
  </si>
  <si>
    <t>Hi-Stepper-2-34.3</t>
  </si>
  <si>
    <t>Hi-Stepper-2-34.4</t>
  </si>
  <si>
    <t>Hi-Stepper-2-34.5</t>
  </si>
  <si>
    <t>Hi-Stepper-2-34.6</t>
  </si>
  <si>
    <t>Hi-Stepper-2-34.7</t>
  </si>
  <si>
    <t>Hi-Stepper-2-34.8</t>
  </si>
  <si>
    <t>Hi-Stepper-2-34.9</t>
  </si>
  <si>
    <t>Hi-Stepper-2-35</t>
  </si>
  <si>
    <t>Hi-Stepper-2-35.1</t>
  </si>
  <si>
    <t>Hi-Stepper-2-35.2</t>
  </si>
  <si>
    <t>Hi-Stepper-2-35.3</t>
  </si>
  <si>
    <t>Hi-Stepper-2-35.4</t>
  </si>
  <si>
    <t>Hi-Stepper-2-35.5</t>
  </si>
  <si>
    <t>Hi-Stepper-2-35.6</t>
  </si>
  <si>
    <t>Hi-Stepper-2-35.7</t>
  </si>
  <si>
    <t>Hi-Stepper-2-35.8</t>
  </si>
  <si>
    <t>Hi-Stepper-2-35.9</t>
  </si>
  <si>
    <t>Hi-Stepper-2-36</t>
  </si>
  <si>
    <t>Hi-Stepper-2-36.1</t>
  </si>
  <si>
    <t>Hi-Stepper-2-36.2</t>
  </si>
  <si>
    <t>Hi-Stepper-2-36.3</t>
  </si>
  <si>
    <t>Hi-Stepper-2-36.4</t>
  </si>
  <si>
    <t>Hi-Stepper-2-36.5</t>
  </si>
  <si>
    <t>Hi-Stepper-2-36.6</t>
  </si>
  <si>
    <t>Hi-Stepper-2-36.7</t>
  </si>
  <si>
    <t>Hi-Stepper-2-36.8</t>
  </si>
  <si>
    <t>Hi-Stepper-2-36.9</t>
  </si>
  <si>
    <t>Hi-Stepper-2-37</t>
  </si>
  <si>
    <t>Hi-Stepper-2-37.1</t>
  </si>
  <si>
    <t>Hi-Stepper-2-37.2</t>
  </si>
  <si>
    <t>Hi-Stepper-2-37.3</t>
  </si>
  <si>
    <t>Hi-Stepper-2-37.4</t>
  </si>
  <si>
    <t>Hi-Stepper-2-37.5</t>
  </si>
  <si>
    <t>Hi-Stepper-2-37.6</t>
  </si>
  <si>
    <t>Hi-Stepper-2-37.7</t>
  </si>
  <si>
    <t>Hi-Stepper-2-37.8</t>
  </si>
  <si>
    <t>Hi-Stepper-2-37.9</t>
  </si>
  <si>
    <t>Hi-Stepper-2-38</t>
  </si>
  <si>
    <t>Hi-Stepper-2-38.1</t>
  </si>
  <si>
    <t>Hi-Stepper-2-38.2</t>
  </si>
  <si>
    <t>Hi-Stepper-2-38.3</t>
  </si>
  <si>
    <t>Hi-Stepper-2-38.4</t>
  </si>
  <si>
    <t>Hi-Stepper-2-38.5</t>
  </si>
  <si>
    <t>Hi-Stepper-2-38.6</t>
  </si>
  <si>
    <t>Hi-Stepper-2-38.7</t>
  </si>
  <si>
    <t>Hi-Stepper-2-38.8</t>
  </si>
  <si>
    <t>Hi-Stepper-2-38.9</t>
  </si>
  <si>
    <t>Hi-Stepper-2-39</t>
  </si>
  <si>
    <t>Hi-Stepper-2-39.1</t>
  </si>
  <si>
    <t>Hi-Stepper-2-39.2</t>
  </si>
  <si>
    <t>Hi-Stepper-2-39.3</t>
  </si>
  <si>
    <t>Hi-Stepper-2-39.4</t>
  </si>
  <si>
    <t>Hi-Stepper-2-39.5</t>
  </si>
  <si>
    <t>Hi-Stepper-2-39.6</t>
  </si>
  <si>
    <t>Hi-Stepper-2-39.7</t>
  </si>
  <si>
    <t>Hi-Stepper-2-39.8</t>
  </si>
  <si>
    <t>Hi-Stepper-2-39.9</t>
  </si>
  <si>
    <t>Hi-Stepper-2-40</t>
  </si>
  <si>
    <t>Hi-Stepper-2-40.1</t>
  </si>
  <si>
    <t>Hi-Stepper-2-40.2</t>
  </si>
  <si>
    <t>Hi-Stepper-2-40.3</t>
  </si>
  <si>
    <t>Hi-Stepper-2-40.4</t>
  </si>
  <si>
    <t>Hi-Stepper-2-40.5</t>
  </si>
  <si>
    <t>Hi-Stepper-2-40.6</t>
  </si>
  <si>
    <t>Hi-Stepper-2-40.7</t>
  </si>
  <si>
    <t>Hi-Stepper-2-40.8</t>
  </si>
  <si>
    <t>Hi-Stepper-2-40.9</t>
  </si>
  <si>
    <t>Hi-Stepper-2-41</t>
  </si>
  <si>
    <t>Hi-Stepper-2-41.1</t>
  </si>
  <si>
    <t>Hi-Stepper-2-41.2</t>
  </si>
  <si>
    <t>Hi-Stepper-2-41.3</t>
  </si>
  <si>
    <t>Hi-Stepper-2-41.4</t>
  </si>
  <si>
    <t>Hi-Stepper-2-41.5</t>
  </si>
  <si>
    <t>Hi-Stepper-2-41.6</t>
  </si>
  <si>
    <t>Hi-Stepper-2-41.7</t>
  </si>
  <si>
    <t>Hi-Stepper-2-41.8</t>
  </si>
  <si>
    <t>Hi-Stepper-2-41.9</t>
  </si>
  <si>
    <t>Hi-Stepper-2-42</t>
  </si>
  <si>
    <t>Hi-Stepper-2-42.1</t>
  </si>
  <si>
    <t>Hi-Stepper-2-42.2</t>
  </si>
  <si>
    <t>Hi-Stepper-2-42.3</t>
  </si>
  <si>
    <t>Hi-Stepper-2-42.4</t>
  </si>
  <si>
    <t>Hi-Stepper-2-42.5</t>
  </si>
  <si>
    <t>Hi-Stepper-2-42.6</t>
  </si>
  <si>
    <t>Hi-Stepper-2-42.7</t>
  </si>
  <si>
    <t>Hi-Stepper-2-42.8</t>
  </si>
  <si>
    <t>Hi-Stepper-2-42.9</t>
  </si>
  <si>
    <t>Hi-Stepper-2-43</t>
  </si>
  <si>
    <t>Hi-Stepper-2-43.1</t>
  </si>
  <si>
    <t>Hi-Stepper-2-43.2</t>
  </si>
  <si>
    <t>Hi-Stepper-2-43.3</t>
  </si>
  <si>
    <t>Hi-Stepper-2-43.4</t>
  </si>
  <si>
    <t>Hi-Stepper-2-43.5</t>
  </si>
  <si>
    <t>Hi-Stepper-2-43.6</t>
  </si>
  <si>
    <t>Hi-Stepper-2-43.7</t>
  </si>
  <si>
    <t>Hi-Stepper-2-43.8</t>
  </si>
  <si>
    <t>Hi-Stepper-2-43.9</t>
  </si>
  <si>
    <t>Hi-Stepper-2-44</t>
  </si>
  <si>
    <t>Hi-Stepper-2-44.1</t>
  </si>
  <si>
    <t>Hi-Stepper-2-44.2</t>
  </si>
  <si>
    <t>Hi-Stepper-2-44.3</t>
  </si>
  <si>
    <t>Hi-Stepper-2-44.4</t>
  </si>
  <si>
    <t>Hi-Stepper-2-44.5</t>
  </si>
  <si>
    <t>Hi-Stepper-2-44.6</t>
  </si>
  <si>
    <t>Hi-Stepper-2-44.7</t>
  </si>
  <si>
    <t>Hi-Stepper-2-44.8</t>
  </si>
  <si>
    <t>Hi-Stepper-2-44.9</t>
  </si>
  <si>
    <t>Hi-Stepper-2-45</t>
  </si>
  <si>
    <t>Hi-Stepper-2-45.1</t>
  </si>
  <si>
    <t>Hi-Stepper-2-45.2</t>
  </si>
  <si>
    <t>Hi-Stepper-2-45.3</t>
  </si>
  <si>
    <t>Hi-Stepper-2-45.4</t>
  </si>
  <si>
    <t>Hi-Stepper-2-45.5</t>
  </si>
  <si>
    <t>Hi-Stepper-2-45.6</t>
  </si>
  <si>
    <t>Hi-Stepper-2-45.7</t>
  </si>
  <si>
    <t>Hi-Stepper-2-45.8</t>
  </si>
  <si>
    <t>Hi-Stepper-2-45.9</t>
  </si>
  <si>
    <t>Hi-Stepper-2-46</t>
  </si>
  <si>
    <t>Hi-Stepper-2-46.1</t>
  </si>
  <si>
    <t>Hi-Stepper-2-46.2</t>
  </si>
  <si>
    <t>Hi-Stepper-2-46.3</t>
  </si>
  <si>
    <t>Hi-Stepper-2-46.4</t>
  </si>
  <si>
    <t>Hi-Stepper-2-46.5</t>
  </si>
  <si>
    <t>Hi-Stepper-2-46.6</t>
  </si>
  <si>
    <t>Hi-Stepper-2-46.7</t>
  </si>
  <si>
    <t>Hi-Stepper-2-46.8</t>
  </si>
  <si>
    <t>Hi-Stepper-2-46.9</t>
  </si>
  <si>
    <t>Hi-Stepper-2-47</t>
  </si>
  <si>
    <t>Hi-Stepper-2-47.1</t>
  </si>
  <si>
    <t>Hi-Stepper-2-47.2</t>
  </si>
  <si>
    <t>Hi-Stepper-2-47.3</t>
  </si>
  <si>
    <t>Hi-Stepper-2-47.4</t>
  </si>
  <si>
    <t>Hi-Stepper-2-47.5</t>
  </si>
  <si>
    <t>Hi-Stepper-2-47.6</t>
  </si>
  <si>
    <t>Hi-Stepper-2-47.7</t>
  </si>
  <si>
    <t>Hi-Stepper-2-47.8</t>
  </si>
  <si>
    <t>Hi-Stepper-2-47.9</t>
  </si>
  <si>
    <t>Hi-Stepper-2-48</t>
  </si>
  <si>
    <t>Hi-Stepper-2-48.1</t>
  </si>
  <si>
    <t>Hi-Stepper-2-48.2</t>
  </si>
  <si>
    <t>Hi-Stepper-2-48.3</t>
  </si>
  <si>
    <t>Hi-Stepper-2-48.4</t>
  </si>
  <si>
    <t>Hi-Stepper-2-48.5</t>
  </si>
  <si>
    <t>Hi-Stepper-2-48.6</t>
  </si>
  <si>
    <t>Hi-Stepper-2-48.7</t>
  </si>
  <si>
    <t>Hi-Stepper-2-48.8</t>
  </si>
  <si>
    <t>Hi-Stepper-2-48.9</t>
  </si>
  <si>
    <t>Hi-Stepper-2-49</t>
  </si>
  <si>
    <t>Hi-Stepper-2-49.1</t>
  </si>
  <si>
    <t>Hi-Stepper-2-49.2</t>
  </si>
  <si>
    <t>Hi-Stepper-2-49.3</t>
  </si>
  <si>
    <t>Hi-Stepper-2-49.4</t>
  </si>
  <si>
    <t>Hi-Stepper-2-49.5</t>
  </si>
  <si>
    <t>Hi-Stepper-2-49.6</t>
  </si>
  <si>
    <t>Hi-Stepper-2-49.7</t>
  </si>
  <si>
    <t>Hi-Stepper-2-49.8</t>
  </si>
  <si>
    <t>Hi-Stepper-2-49.9</t>
  </si>
  <si>
    <t>Hi-Stepper-2-50</t>
  </si>
  <si>
    <t>Hi-Stepper-2-50.1</t>
  </si>
  <si>
    <t>Hi-Stepper-2-50.2</t>
  </si>
  <si>
    <t>Hi-Stepper-2-50.3</t>
  </si>
  <si>
    <t>Hi-Stepper-2-50.4</t>
  </si>
  <si>
    <t>Hi-Stepper-2-50.5</t>
  </si>
  <si>
    <t>Hi-Stepper-2-50.6</t>
  </si>
  <si>
    <t>Hi-Stepper-2-50.7</t>
  </si>
  <si>
    <t>Hi-Stepper-2-50.8</t>
  </si>
  <si>
    <t>Hi-Stepper-2-50.9</t>
  </si>
  <si>
    <t>Hi-Stepper-2-51</t>
  </si>
  <si>
    <t>Hi-Stepper-2-51.1</t>
  </si>
  <si>
    <t>Hi-Stepper-2-51.2</t>
  </si>
  <si>
    <t>Hi-Stepper-2-51.3</t>
  </si>
  <si>
    <t>Hi-Stepper-2-51.4</t>
  </si>
  <si>
    <t>Hi-Stepper-2-51.5</t>
  </si>
  <si>
    <t>Hi-Stepper-2-51.6</t>
  </si>
  <si>
    <t>Hi-Stepper-2-51.7</t>
  </si>
  <si>
    <t>Hi-Stepper-2-51.8</t>
  </si>
  <si>
    <t>Hi-Stepper-2-51.9</t>
  </si>
  <si>
    <t>Hi-Stepper-2-52</t>
  </si>
  <si>
    <t>Hi-Stepper-2-52.1</t>
  </si>
  <si>
    <t>Hi-Stepper-2-52.2</t>
  </si>
  <si>
    <t>Hi-Stepper-2-52.3</t>
  </si>
  <si>
    <t>Hi-Stepper-2-52.4</t>
  </si>
  <si>
    <t>Hi-Stepper-2-52.5</t>
  </si>
  <si>
    <t>Hi-Stepper-2-52.6</t>
  </si>
  <si>
    <t>Hi-Stepper-2-52.7</t>
  </si>
  <si>
    <t>Hi-Stepper-2-52.8</t>
  </si>
  <si>
    <t>Hi-Stepper-2-52.9</t>
  </si>
  <si>
    <t>Hi-Stepper-2-53</t>
  </si>
  <si>
    <t>Hi-Stepper-2-53.1</t>
  </si>
  <si>
    <t>Hi-Stepper-2-53.2</t>
  </si>
  <si>
    <t>Hi-Stepper-2-53.3</t>
  </si>
  <si>
    <t>Hi-Stepper-2-53.4</t>
  </si>
  <si>
    <t>Hi-Stepper-2-53.5</t>
  </si>
  <si>
    <t>Hi-Stepper-2-53.6</t>
  </si>
  <si>
    <t>Hi-Stepper-2-53.7</t>
  </si>
  <si>
    <t>Hi-Stepper-2-53.8</t>
  </si>
  <si>
    <t>Hi-Stepper-2-53.9</t>
  </si>
  <si>
    <t>Hi-Stepper-2-54</t>
  </si>
  <si>
    <t>Hi-Stepper-2-54.1</t>
  </si>
  <si>
    <t>Hi-Stepper-2-54.2</t>
  </si>
  <si>
    <t>Hi-Stepper-2-54.3</t>
  </si>
  <si>
    <t>Hi-Stepper-2-54.4</t>
  </si>
  <si>
    <t>Hi-Stepper-2-54.5</t>
  </si>
  <si>
    <t>Hi-Stepper-2-54.6</t>
  </si>
  <si>
    <t>Hi-Stepper-2-54.7</t>
  </si>
  <si>
    <t>Hi-Stepper-2-54.8</t>
  </si>
  <si>
    <t>Hi-Stepper-2-54.9</t>
  </si>
  <si>
    <t>Hi-Stepper-2-55</t>
  </si>
  <si>
    <t>Hi-Stepper-2-55.1</t>
  </si>
  <si>
    <t>Hi-Stepper-2-55.2</t>
  </si>
  <si>
    <t>Hi-Stepper-2-55.3</t>
  </si>
  <si>
    <t>Hi-Stepper-2-55.4</t>
  </si>
  <si>
    <t>Hi-Stepper-2-55.5</t>
  </si>
  <si>
    <t>Hi-Stepper-2-55.6</t>
  </si>
  <si>
    <t>Hi-Stepper-2-55.7</t>
  </si>
  <si>
    <t>Hi-Stepper-2-55.8</t>
  </si>
  <si>
    <t>Hi-Stepper-2-55.9</t>
  </si>
  <si>
    <t>Hi-Stepper-2-56</t>
  </si>
  <si>
    <t>Hi-Stepper-2-56.1</t>
  </si>
  <si>
    <t>Hi-Stepper-2-56.2</t>
  </si>
  <si>
    <t>Hi-Stepper-2-56.3</t>
  </si>
  <si>
    <t>Hi-Stepper-2-56.4</t>
  </si>
  <si>
    <t>Hi-Stepper-2-56.5</t>
  </si>
  <si>
    <t>Hi-Stepper-2-56.6</t>
  </si>
  <si>
    <t>Hi-Stepper-2-56.7</t>
  </si>
  <si>
    <t>Hi-Stepper-2-56.8</t>
  </si>
  <si>
    <t>Hi-Stepper-2-56.9</t>
  </si>
  <si>
    <t>Hi-Stepper-2-57</t>
  </si>
  <si>
    <t>Hi-Stepper-2-57.1</t>
  </si>
  <si>
    <t>Hi-Stepper-2-57.2</t>
  </si>
  <si>
    <t>Hi-Stepper-2-57.3</t>
  </si>
  <si>
    <t>Hi-Stepper-2-57.4</t>
  </si>
  <si>
    <t>Hi-Stepper-2-57.5</t>
  </si>
  <si>
    <t>Hi-Stepper-2-57.6</t>
  </si>
  <si>
    <t>Hi-Stepper-2-57.7</t>
  </si>
  <si>
    <t>Hi-Stepper-2-57.8</t>
  </si>
  <si>
    <t>Hi-Stepper-2-57.9</t>
  </si>
  <si>
    <t>Hi-Stepper-2-58</t>
  </si>
  <si>
    <t>Hi-Stepper-2-58.1</t>
  </si>
  <si>
    <t>Hi-Stepper-2-58.2</t>
  </si>
  <si>
    <t>Hi-Stepper-2-58.3</t>
  </si>
  <si>
    <t>Hi-Stepper-2-58.4</t>
  </si>
  <si>
    <t>Hi-Stepper-2-58.5</t>
  </si>
  <si>
    <t>Hi-Stepper-2-58.6</t>
  </si>
  <si>
    <t>Hi-Stepper-2-58.7</t>
  </si>
  <si>
    <t>Hi-Stepper-2-58.8</t>
  </si>
  <si>
    <t>Hi-Stepper-2-58.9</t>
  </si>
  <si>
    <t>Hi-Stepper-2-59</t>
  </si>
  <si>
    <t>Hi-Stepper-2-59.1</t>
  </si>
  <si>
    <t>Hi-Stepper-2-59.2</t>
  </si>
  <si>
    <t>Hi-Stepper-2-59.3</t>
  </si>
  <si>
    <t>Hi-Stepper-2-59.4</t>
  </si>
  <si>
    <t>Hi-Stepper-2-59.5</t>
  </si>
  <si>
    <t>Hi-Stepper-2-59.6</t>
  </si>
  <si>
    <t>Hi-Stepper-2-59.7</t>
  </si>
  <si>
    <t>Hi-Stepper-2-59.8</t>
  </si>
  <si>
    <t>Hi-Stepper-2-59.9</t>
  </si>
  <si>
    <t>Hi-Stepper-2-60</t>
  </si>
  <si>
    <t>Hi-Stepper-2-60.1</t>
  </si>
  <si>
    <t>Hi-Stepper-2-60.2</t>
  </si>
  <si>
    <t>Hi-Stepper-2-60.3</t>
  </si>
  <si>
    <t>Hi-Stepper-2-60.4</t>
  </si>
  <si>
    <t>Hi-Stepper-2-60.5</t>
  </si>
  <si>
    <t>Hi-Stepper-2-60.6</t>
  </si>
  <si>
    <t>Hi-Stepper-2-60.7</t>
  </si>
  <si>
    <t>Hi-Stepper-2-60.8</t>
  </si>
  <si>
    <t>Hi-Stepper-2-60.9</t>
  </si>
  <si>
    <t>Hi-Stepper-2-61</t>
  </si>
  <si>
    <t>Hi-Stepper-2-61.1</t>
  </si>
  <si>
    <t>Hi-Stepper-2-61.2</t>
  </si>
  <si>
    <t>Hi-Stepper-2-61.3</t>
  </si>
  <si>
    <t>Hi-Stepper-2-61.4</t>
  </si>
  <si>
    <t>Hi-Stepper-2-61.5</t>
  </si>
  <si>
    <t>Hi-Stepper-2-61.6</t>
  </si>
  <si>
    <t>Hi-Stepper-2-61.7</t>
  </si>
  <si>
    <t>Hi-Stepper-2-61.8</t>
  </si>
  <si>
    <t>Hi-Stepper-2-61.9</t>
  </si>
  <si>
    <t>Hi-Stepper-2-62</t>
  </si>
  <si>
    <t>Hi-Stepper-2-62.1</t>
  </si>
  <si>
    <t>Hi-Stepper-2-62.2</t>
  </si>
  <si>
    <t>Hi-Stepper-2-62.3</t>
  </si>
  <si>
    <t>Hi-Stepper-2-62.4</t>
  </si>
  <si>
    <t>Hi-Stepper-2-62.5</t>
  </si>
  <si>
    <t>Hi-Stepper-2-62.6</t>
  </si>
  <si>
    <t>Hi-Stepper-2-62.7</t>
  </si>
  <si>
    <t>Hi-Stepper-2-62.8</t>
  </si>
  <si>
    <t>Hi-Stepper-2-62.9</t>
  </si>
  <si>
    <t>Hi-Stepper-2-63</t>
  </si>
  <si>
    <t>Hi-Stepper-2-63.1</t>
  </si>
  <si>
    <t>Hi-Stepper-2-63.2</t>
  </si>
  <si>
    <t>Hi-Stepper-2-63.3</t>
  </si>
  <si>
    <t>Hi-Stepper-2-63.4</t>
  </si>
  <si>
    <t>Hi-Stepper-2-63.5</t>
  </si>
  <si>
    <t>Hi-Stepper-2-63.6</t>
  </si>
  <si>
    <t>Hi-Stepper-2-63.7</t>
  </si>
  <si>
    <t>Hi-Stepper-2-63.8</t>
  </si>
  <si>
    <t>Hi-Stepper-2-63.9</t>
  </si>
  <si>
    <t>Hi-Stepper-2-64</t>
  </si>
  <si>
    <t>Hi-Stepper-2-64.1</t>
  </si>
  <si>
    <t>Hi-Stepper-2-64.2</t>
  </si>
  <si>
    <t>Hi-Stepper-2-64.3</t>
  </si>
  <si>
    <t>Hi-Stepper-2-64.4</t>
  </si>
  <si>
    <t>Hi-Stepper-2-64.5</t>
  </si>
  <si>
    <t>Hi-Stepper-2-64.6</t>
  </si>
  <si>
    <t>Hi-Stepper-2-64.7</t>
  </si>
  <si>
    <t>Hi-Stepper-2-64.8</t>
  </si>
  <si>
    <t>Hi-Stepper-2-64.9</t>
  </si>
  <si>
    <t>Hi-Stepper-2-65</t>
  </si>
  <si>
    <t>Hi-Stepper-2-65.1</t>
  </si>
  <si>
    <t>Hi-Stepper-2-65.2</t>
  </si>
  <si>
    <t>Hi-Stepper-2-65.3</t>
  </si>
  <si>
    <t>Hi-Stepper-2-65.4</t>
  </si>
  <si>
    <t>Hi-Stepper-2-65.5</t>
  </si>
  <si>
    <t>Hi-Stepper-2-65.6</t>
  </si>
  <si>
    <t>Hi-Stepper-2-65.7</t>
  </si>
  <si>
    <t>Hi-Stepper-2-65.8</t>
  </si>
  <si>
    <t>Hi-Stepper-2-65.9</t>
  </si>
  <si>
    <t>Hi-Stepper-2-66</t>
  </si>
  <si>
    <t>Hi-Stepper-2-66.1</t>
  </si>
  <si>
    <t>Hi-Stepper-2-66.2</t>
  </si>
  <si>
    <t>Hi-Stepper-2-66.3</t>
  </si>
  <si>
    <t>Hi-Stepper-2-66.4</t>
  </si>
  <si>
    <t>Hi-Stepper-2-66.5</t>
  </si>
  <si>
    <t>Hi-Stepper-2-66.6</t>
  </si>
  <si>
    <t>Hi-Stepper-2-66.7</t>
  </si>
  <si>
    <t>Hi-Stepper-2-66.8</t>
  </si>
  <si>
    <t>Hi-Stepper-2-66.9</t>
  </si>
  <si>
    <t>Hi-Stepper-2-67</t>
  </si>
  <si>
    <t>Hi-Stepper-2-67.1</t>
  </si>
  <si>
    <t>Hi-Stepper-2-67.2</t>
  </si>
  <si>
    <t>Hi-Stepper-2-67.3</t>
  </si>
  <si>
    <t>Hi-Stepper-2-67.4</t>
  </si>
  <si>
    <t>Hi-Stepper-2-67.5</t>
  </si>
  <si>
    <t>Hi-Stepper-2-67.6</t>
  </si>
  <si>
    <t>Hi-Stepper-2-67.7</t>
  </si>
  <si>
    <t>Hi-Stepper-2-67.8</t>
  </si>
  <si>
    <t>Hi-Stepper-2-67.9</t>
  </si>
  <si>
    <t>Hi-Stepper-2-68</t>
  </si>
  <si>
    <t>Hi-Stepper-2-68.1</t>
  </si>
  <si>
    <t>Hi-Stepper-2-68.2</t>
  </si>
  <si>
    <t>Hi-Stepper-2-68.3</t>
  </si>
  <si>
    <t>Hi-Stepper-2-68.4</t>
  </si>
  <si>
    <t>Hi-Stepper-2-68.5</t>
  </si>
  <si>
    <t>Hi-Stepper-2-68.6</t>
  </si>
  <si>
    <t>Hi-Stepper-2-68.7</t>
  </si>
  <si>
    <t>Hi-Stepper-2-68.8</t>
  </si>
  <si>
    <t>Hi-Stepper-2-68.9</t>
  </si>
  <si>
    <t>Hi-Stepper-2-69</t>
  </si>
  <si>
    <t>Hi-Stepper-2-69.1</t>
  </si>
  <si>
    <t>Hi-Stepper-2-69.2</t>
  </si>
  <si>
    <t>Hi-Stepper-2-69.3</t>
  </si>
  <si>
    <t>Hi-Stepper-2-69.4</t>
  </si>
  <si>
    <t>Hi-Stepper-2-69.5</t>
  </si>
  <si>
    <t>Hi-Stepper-2-69.6</t>
  </si>
  <si>
    <t>Hi-Stepper-2-69.7</t>
  </si>
  <si>
    <t>Hi-Stepper-2-69.8</t>
  </si>
  <si>
    <t>Hi-Stepper-2-69.9</t>
  </si>
  <si>
    <t>Hi-Stepper-2-70</t>
  </si>
  <si>
    <t>Hi-Stepper-3-12.7</t>
  </si>
  <si>
    <t>Hi-Stepper-3-12.8</t>
  </si>
  <si>
    <t>Hi-Stepper-3-12.9</t>
  </si>
  <si>
    <t>Hi-Stepper-3-13</t>
  </si>
  <si>
    <t>Hi-Stepper-3-13.1</t>
  </si>
  <si>
    <t>Hi-Stepper-3-13.2</t>
  </si>
  <si>
    <t>Hi-Stepper-3-13.3</t>
  </si>
  <si>
    <t>Hi-Stepper-3-13.4</t>
  </si>
  <si>
    <t>Hi-Stepper-3-13.5</t>
  </si>
  <si>
    <t>Hi-Stepper-3-13.6</t>
  </si>
  <si>
    <t>Hi-Stepper-3-13.7</t>
  </si>
  <si>
    <t>Hi-Stepper-3-13.8</t>
  </si>
  <si>
    <t>Hi-Stepper-3-13.9</t>
  </si>
  <si>
    <t>Hi-Stepper-3-14</t>
  </si>
  <si>
    <t>Hi-Stepper-3-14.1</t>
  </si>
  <si>
    <t>Hi-Stepper-3-14.2</t>
  </si>
  <si>
    <t>Hi-Stepper-3-14.3</t>
  </si>
  <si>
    <t>Hi-Stepper-3-14.4</t>
  </si>
  <si>
    <t>Hi-Stepper-3-14.5</t>
  </si>
  <si>
    <t>Hi-Stepper-3-14.6</t>
  </si>
  <si>
    <t>Hi-Stepper-3-14.7</t>
  </si>
  <si>
    <t>Hi-Stepper-3-14.8</t>
  </si>
  <si>
    <t>Hi-Stepper-3-14.9</t>
  </si>
  <si>
    <t>Hi-Stepper-3-15</t>
  </si>
  <si>
    <t>Hi-Stepper-3-15.1</t>
  </si>
  <si>
    <t>Hi-Stepper-3-15.2</t>
  </si>
  <si>
    <t>Hi-Stepper-3-15.3</t>
  </si>
  <si>
    <t>Hi-Stepper-3-15.4</t>
  </si>
  <si>
    <t>Hi-Stepper-3-15.5</t>
  </si>
  <si>
    <t>Hi-Stepper-3-15.6</t>
  </si>
  <si>
    <t>Hi-Stepper-3-15.7</t>
  </si>
  <si>
    <t>Hi-Stepper-3-15.8</t>
  </si>
  <si>
    <t>Hi-Stepper-3-15.9</t>
  </si>
  <si>
    <t>Hi-Stepper-3-16</t>
  </si>
  <si>
    <t>Hi-Stepper-3-16.1</t>
  </si>
  <si>
    <t>Hi-Stepper-3-16.2</t>
  </si>
  <si>
    <t>Hi-Stepper-3-16.3</t>
  </si>
  <si>
    <t>Hi-Stepper-3-16.4</t>
  </si>
  <si>
    <t>Hi-Stepper-3-16.5</t>
  </si>
  <si>
    <t>Hi-Stepper-3-16.6</t>
  </si>
  <si>
    <t>Hi-Stepper-3-16.7</t>
  </si>
  <si>
    <t>Hi-Stepper-3-16.8</t>
  </si>
  <si>
    <t>Hi-Stepper-3-16.9</t>
  </si>
  <si>
    <t>Hi-Stepper-3-17</t>
  </si>
  <si>
    <t>Hi-Stepper-3-17.1</t>
  </si>
  <si>
    <t>Hi-Stepper-3-17.2</t>
  </si>
  <si>
    <t>Hi-Stepper-3-17.3</t>
  </si>
  <si>
    <t>Hi-Stepper-3-17.4</t>
  </si>
  <si>
    <t>Hi-Stepper-3-17.5</t>
  </si>
  <si>
    <t>Hi-Stepper-3-17.6</t>
  </si>
  <si>
    <t>Hi-Stepper-3-17.7</t>
  </si>
  <si>
    <t>Hi-Stepper-3-17.8</t>
  </si>
  <si>
    <t>Hi-Stepper-3-17.9</t>
  </si>
  <si>
    <t>Hi-Stepper-3-18</t>
  </si>
  <si>
    <t>Hi-Stepper-3-18.1</t>
  </si>
  <si>
    <t>Hi-Stepper-3-18.2</t>
  </si>
  <si>
    <t>Hi-Stepper-3-18.3</t>
  </si>
  <si>
    <t>Hi-Stepper-3-18.4</t>
  </si>
  <si>
    <t>Hi-Stepper-3-18.5</t>
  </si>
  <si>
    <t>Hi-Stepper-3-18.6</t>
  </si>
  <si>
    <t>Hi-Stepper-3-18.7</t>
  </si>
  <si>
    <t>Hi-Stepper-3-18.8</t>
  </si>
  <si>
    <t>Hi-Stepper-3-18.9</t>
  </si>
  <si>
    <t>Hi-Stepper-3-19</t>
  </si>
  <si>
    <t>Hi-Stepper-3-19.1</t>
  </si>
  <si>
    <t>Hi-Stepper-3-19.2</t>
  </si>
  <si>
    <t>Hi-Stepper-3-19.3</t>
  </si>
  <si>
    <t>Hi-Stepper-3-19.4</t>
  </si>
  <si>
    <t>Hi-Stepper-3-19.5</t>
  </si>
  <si>
    <t>Hi-Stepper-3-19.6</t>
  </si>
  <si>
    <t>Hi-Stepper-3-19.7</t>
  </si>
  <si>
    <t>Hi-Stepper-3-19.8</t>
  </si>
  <si>
    <t>Hi-Stepper-3-19.9</t>
  </si>
  <si>
    <t>Hi-Stepper-3-20</t>
  </si>
  <si>
    <t>Hi-Stepper-3-20.1</t>
  </si>
  <si>
    <t>Hi-Stepper-3-20.2</t>
  </si>
  <si>
    <t>Hi-Stepper-3-20.3</t>
  </si>
  <si>
    <t>Hi-Stepper-3-20.4</t>
  </si>
  <si>
    <t>Hi-Stepper-3-20.5</t>
  </si>
  <si>
    <t>Hi-Stepper-3-20.6</t>
  </si>
  <si>
    <t>Hi-Stepper-3-20.7</t>
  </si>
  <si>
    <t>Hi-Stepper-3-20.8</t>
  </si>
  <si>
    <t>Hi-Stepper-3-20.9</t>
  </si>
  <si>
    <t>Hi-Stepper-3-21</t>
  </si>
  <si>
    <t>Hi-Stepper-3-21.1</t>
  </si>
  <si>
    <t>Hi-Stepper-3-21.2</t>
  </si>
  <si>
    <t>Hi-Stepper-3-21.3</t>
  </si>
  <si>
    <t>Hi-Stepper-3-21.4</t>
  </si>
  <si>
    <t>Hi-Stepper-3-21.5</t>
  </si>
  <si>
    <t>Hi-Stepper-3-21.6</t>
  </si>
  <si>
    <t>Hi-Stepper-3-21.7</t>
  </si>
  <si>
    <t>Hi-Stepper-3-21.8</t>
  </si>
  <si>
    <t>Hi-Stepper-3-21.9</t>
  </si>
  <si>
    <t>Hi-Stepper-3-22</t>
  </si>
  <si>
    <t>Hi-Stepper-3-22.1</t>
  </si>
  <si>
    <t>Hi-Stepper-3-22.2</t>
  </si>
  <si>
    <t>Hi-Stepper-3-22.3</t>
  </si>
  <si>
    <t>Hi-Stepper-3-22.4</t>
  </si>
  <si>
    <t>Hi-Stepper-3-22.5</t>
  </si>
  <si>
    <t>Hi-Stepper-3-22.6</t>
  </si>
  <si>
    <t>Hi-Stepper-3-22.7</t>
  </si>
  <si>
    <t>Hi-Stepper-3-22.8</t>
  </si>
  <si>
    <t>Hi-Stepper-3-22.9</t>
  </si>
  <si>
    <t>Hi-Stepper-3-23</t>
  </si>
  <si>
    <t>Hi-Stepper-3-23.1</t>
  </si>
  <si>
    <t>Hi-Stepper-3-23.2</t>
  </si>
  <si>
    <t>Hi-Stepper-3-23.3</t>
  </si>
  <si>
    <t>Hi-Stepper-3-23.4</t>
  </si>
  <si>
    <t>Hi-Stepper-3-23.5</t>
  </si>
  <si>
    <t>Hi-Stepper-3-23.6</t>
  </si>
  <si>
    <t>Hi-Stepper-3-23.7</t>
  </si>
  <si>
    <t>Hi-Stepper-3-23.8</t>
  </si>
  <si>
    <t>Hi-Stepper-3-23.9</t>
  </si>
  <si>
    <t>Hi-Stepper-3-24</t>
  </si>
  <si>
    <t>Hi-Stepper-3-24.1</t>
  </si>
  <si>
    <t>Hi-Stepper-3-24.2</t>
  </si>
  <si>
    <t>Hi-Stepper-3-24.3</t>
  </si>
  <si>
    <t>Hi-Stepper-3-24.4</t>
  </si>
  <si>
    <t>Hi-Stepper-3-24.5</t>
  </si>
  <si>
    <t>Hi-Stepper-3-24.6</t>
  </si>
  <si>
    <t>Hi-Stepper-3-24.7</t>
  </si>
  <si>
    <t>Hi-Stepper-3-24.8</t>
  </si>
  <si>
    <t>Hi-Stepper-3-24.9</t>
  </si>
  <si>
    <t>Hi-Stepper-3-25</t>
  </si>
  <si>
    <t>Hi-Stepper-3-25.1</t>
  </si>
  <si>
    <t>Hi-Stepper-3-25.2</t>
  </si>
  <si>
    <t>Hi-Stepper-3-25.3</t>
  </si>
  <si>
    <t>Hi-Stepper-3-25.4</t>
  </si>
  <si>
    <t>Hi-Stepper-3-25.5</t>
  </si>
  <si>
    <t>Hi-Stepper-3-25.6</t>
  </si>
  <si>
    <t>Hi-Stepper-3-25.7</t>
  </si>
  <si>
    <t>Hi-Stepper-3-25.8</t>
  </si>
  <si>
    <t>Hi-Stepper-3-25.9</t>
  </si>
  <si>
    <t>Hi-Stepper-3-26</t>
  </si>
  <si>
    <t>Hi-Stepper-3-26.1</t>
  </si>
  <si>
    <t>Hi-Stepper-3-26.2</t>
  </si>
  <si>
    <t>Hi-Stepper-3-26.3</t>
  </si>
  <si>
    <t>Hi-Stepper-3-26.4</t>
  </si>
  <si>
    <t>Hi-Stepper-3-26.5</t>
  </si>
  <si>
    <t>Hi-Stepper-3-26.6</t>
  </si>
  <si>
    <t>Hi-Stepper-3-26.7</t>
  </si>
  <si>
    <t>Hi-Stepper-3-26.8</t>
  </si>
  <si>
    <t>Hi-Stepper-3-26.9</t>
  </si>
  <si>
    <t>Hi-Stepper-3-27</t>
  </si>
  <si>
    <t>Hi-Stepper-3-27.1</t>
  </si>
  <si>
    <t>Hi-Stepper-3-27.2</t>
  </si>
  <si>
    <t>Hi-Stepper-3-27.3</t>
  </si>
  <si>
    <t>Hi-Stepper-3-27.4</t>
  </si>
  <si>
    <t>Hi-Stepper-3-27.5</t>
  </si>
  <si>
    <t>Hi-Stepper-3-27.6</t>
  </si>
  <si>
    <t>Hi-Stepper-3-27.7</t>
  </si>
  <si>
    <t>Hi-Stepper-3-27.8</t>
  </si>
  <si>
    <t>Hi-Stepper-3-27.9</t>
  </si>
  <si>
    <t>Hi-Stepper-3-28</t>
  </si>
  <si>
    <t>Hi-Stepper-3-28.1</t>
  </si>
  <si>
    <t>Hi-Stepper-3-28.2</t>
  </si>
  <si>
    <t>Hi-Stepper-3-28.3</t>
  </si>
  <si>
    <t>Hi-Stepper-3-28.4</t>
  </si>
  <si>
    <t>Hi-Stepper-3-28.5</t>
  </si>
  <si>
    <t>Hi-Stepper-3-28.6</t>
  </si>
  <si>
    <t>Hi-Stepper-3-28.7</t>
  </si>
  <si>
    <t>Hi-Stepper-3-28.8</t>
  </si>
  <si>
    <t>Hi-Stepper-3-28.9</t>
  </si>
  <si>
    <t>Hi-Stepper-3-29</t>
  </si>
  <si>
    <t>Hi-Stepper-3-29.1</t>
  </si>
  <si>
    <t>Hi-Stepper-3-29.2</t>
  </si>
  <si>
    <t>Hi-Stepper-3-29.3</t>
  </si>
  <si>
    <t>Hi-Stepper-3-29.4</t>
  </si>
  <si>
    <t>Hi-Stepper-3-29.5</t>
  </si>
  <si>
    <t>Hi-Stepper-3-29.6</t>
  </si>
  <si>
    <t>Hi-Stepper-3-29.7</t>
  </si>
  <si>
    <t>Hi-Stepper-3-29.8</t>
  </si>
  <si>
    <t>Hi-Stepper-3-29.9</t>
  </si>
  <si>
    <t>Hi-Stepper-3-30</t>
  </si>
  <si>
    <t>Hi-Stepper-3-30.1</t>
  </si>
  <si>
    <t>Hi-Stepper-3-30.2</t>
  </si>
  <si>
    <t>Hi-Stepper-3-30.3</t>
  </si>
  <si>
    <t>Hi-Stepper-3-30.4</t>
  </si>
  <si>
    <t>Hi-Stepper-3-30.5</t>
  </si>
  <si>
    <t>Hi-Stepper-3-30.6</t>
  </si>
  <si>
    <t>Hi-Stepper-3-30.7</t>
  </si>
  <si>
    <t>Hi-Stepper-3-30.8</t>
  </si>
  <si>
    <t>Hi-Stepper-3-30.9</t>
  </si>
  <si>
    <t>Hi-Stepper-3-31</t>
  </si>
  <si>
    <t>Hi-Stepper-3-31.1</t>
  </si>
  <si>
    <t>Hi-Stepper-3-31.2</t>
  </si>
  <si>
    <t>Hi-Stepper-3-31.3</t>
  </si>
  <si>
    <t>Hi-Stepper-3-31.4</t>
  </si>
  <si>
    <t>Hi-Stepper-3-31.5</t>
  </si>
  <si>
    <t>Hi-Stepper-3-31.6</t>
  </si>
  <si>
    <t>Hi-Stepper-3-31.7</t>
  </si>
  <si>
    <t>Hi-Stepper-3-31.8</t>
  </si>
  <si>
    <t>Hi-Stepper-3-31.9</t>
  </si>
  <si>
    <t>Hi-Stepper-3-32</t>
  </si>
  <si>
    <t>Hi-Stepper-3-32.1</t>
  </si>
  <si>
    <t>Hi-Stepper-3-32.2</t>
  </si>
  <si>
    <t>Hi-Stepper-3-32.3</t>
  </si>
  <si>
    <t>Hi-Stepper-3-32.4</t>
  </si>
  <si>
    <t>Hi-Stepper-3-32.5</t>
  </si>
  <si>
    <t>Hi-Stepper-3-32.6</t>
  </si>
  <si>
    <t>Hi-Stepper-3-32.7</t>
  </si>
  <si>
    <t>Hi-Stepper-3-32.8</t>
  </si>
  <si>
    <t>Hi-Stepper-3-32.9</t>
  </si>
  <si>
    <t>Hi-Stepper-3-33</t>
  </si>
  <si>
    <t>Hi-Stepper-3-33.1</t>
  </si>
  <si>
    <t>Hi-Stepper-3-33.2</t>
  </si>
  <si>
    <t>Hi-Stepper-3-33.3</t>
  </si>
  <si>
    <t>Hi-Stepper-3-33.4</t>
  </si>
  <si>
    <t>Hi-Stepper-3-33.5</t>
  </si>
  <si>
    <t>Hi-Stepper-3-33.6</t>
  </si>
  <si>
    <t>Hi-Stepper-3-33.7</t>
  </si>
  <si>
    <t>Hi-Stepper-3-33.8</t>
  </si>
  <si>
    <t>Hi-Stepper-3-33.9</t>
  </si>
  <si>
    <t>Hi-Stepper-3-34</t>
  </si>
  <si>
    <t>Hi-Stepper-3-34.1</t>
  </si>
  <si>
    <t>Hi-Stepper-3-34.2</t>
  </si>
  <si>
    <t>Hi-Stepper-3-34.3</t>
  </si>
  <si>
    <t>Hi-Stepper-3-34.4</t>
  </si>
  <si>
    <t>Hi-Stepper-3-34.5</t>
  </si>
  <si>
    <t>Hi-Stepper-3-34.6</t>
  </si>
  <si>
    <t>Hi-Stepper-3-34.7</t>
  </si>
  <si>
    <t>Hi-Stepper-3-34.8</t>
  </si>
  <si>
    <t>Hi-Stepper-3-34.9</t>
  </si>
  <si>
    <t>Hi-Stepper-3-35</t>
  </si>
  <si>
    <t>Hi-Stepper-3-35.1</t>
  </si>
  <si>
    <t>Hi-Stepper-3-35.2</t>
  </si>
  <si>
    <t>Hi-Stepper-3-35.3</t>
  </si>
  <si>
    <t>Hi-Stepper-3-35.4</t>
  </si>
  <si>
    <t>Hi-Stepper-3-35.5</t>
  </si>
  <si>
    <t>Hi-Stepper-3-35.6</t>
  </si>
  <si>
    <t>Hi-Stepper-3-35.7</t>
  </si>
  <si>
    <t>Hi-Stepper-3-35.8</t>
  </si>
  <si>
    <t>Hi-Stepper-3-35.9</t>
  </si>
  <si>
    <t>Hi-Stepper-3-36</t>
  </si>
  <si>
    <t>Hi-Stepper-3-36.1</t>
  </si>
  <si>
    <t>Hi-Stepper-3-36.2</t>
  </si>
  <si>
    <t>Hi-Stepper-3-36.3</t>
  </si>
  <si>
    <t>Hi-Stepper-3-36.4</t>
  </si>
  <si>
    <t>Hi-Stepper-3-36.5</t>
  </si>
  <si>
    <t>Hi-Stepper-3-36.6</t>
  </si>
  <si>
    <t>Hi-Stepper-3-36.7</t>
  </si>
  <si>
    <t>Hi-Stepper-3-36.8</t>
  </si>
  <si>
    <t>Hi-Stepper-3-36.9</t>
  </si>
  <si>
    <t>Hi-Stepper-3-37</t>
  </si>
  <si>
    <t>Hi-Stepper-3-37.1</t>
  </si>
  <si>
    <t>Hi-Stepper-3-37.2</t>
  </si>
  <si>
    <t>Hi-Stepper-3-37.3</t>
  </si>
  <si>
    <t>Hi-Stepper-3-37.4</t>
  </si>
  <si>
    <t>Hi-Stepper-3-37.5</t>
  </si>
  <si>
    <t>Hi-Stepper-3-37.6</t>
  </si>
  <si>
    <t>Hi-Stepper-3-37.7</t>
  </si>
  <si>
    <t>Hi-Stepper-3-37.8</t>
  </si>
  <si>
    <t>Hi-Stepper-3-37.9</t>
  </si>
  <si>
    <t>Hi-Stepper-3-38</t>
  </si>
  <si>
    <t>Hi-Stepper-3-38.1</t>
  </si>
  <si>
    <t>Hi-Stepper-3-38.2</t>
  </si>
  <si>
    <t>Hi-Stepper-3-38.3</t>
  </si>
  <si>
    <t>Hi-Stepper-3-38.4</t>
  </si>
  <si>
    <t>Hi-Stepper-3-38.5</t>
  </si>
  <si>
    <t>Hi-Stepper-3-38.6</t>
  </si>
  <si>
    <t>Hi-Stepper-3-38.7</t>
  </si>
  <si>
    <t>Hi-Stepper-3-38.8</t>
  </si>
  <si>
    <t>Hi-Stepper-3-38.9</t>
  </si>
  <si>
    <t>Hi-Stepper-3-39</t>
  </si>
  <si>
    <t>Hi-Stepper-3-39.1</t>
  </si>
  <si>
    <t>Hi-Stepper-3-39.2</t>
  </si>
  <si>
    <t>Hi-Stepper-3-39.3</t>
  </si>
  <si>
    <t>Hi-Stepper-3-39.4</t>
  </si>
  <si>
    <t>Hi-Stepper-3-39.5</t>
  </si>
  <si>
    <t>Hi-Stepper-3-39.6</t>
  </si>
  <si>
    <t>Hi-Stepper-3-39.7</t>
  </si>
  <si>
    <t>Hi-Stepper-3-39.8</t>
  </si>
  <si>
    <t>Hi-Stepper-3-39.9</t>
  </si>
  <si>
    <t>Hi-Stepper-3-40</t>
  </si>
  <si>
    <t>Hi-Stepper-3-40.1</t>
  </si>
  <si>
    <t>Hi-Stepper-3-40.2</t>
  </si>
  <si>
    <t>Hi-Stepper-3-40.3</t>
  </si>
  <si>
    <t>Hi-Stepper-3-40.4</t>
  </si>
  <si>
    <t>Hi-Stepper-3-40.5</t>
  </si>
  <si>
    <t>Hi-Stepper-3-40.6</t>
  </si>
  <si>
    <t>Hi-Stepper-3-40.7</t>
  </si>
  <si>
    <t>Hi-Stepper-3-40.8</t>
  </si>
  <si>
    <t>Hi-Stepper-3-40.9</t>
  </si>
  <si>
    <t>Hi-Stepper-3-41</t>
  </si>
  <si>
    <t>Hi-Stepper-3-41.1</t>
  </si>
  <si>
    <t>Hi-Stepper-3-41.2</t>
  </si>
  <si>
    <t>Hi-Stepper-3-41.3</t>
  </si>
  <si>
    <t>Hi-Stepper-3-41.4</t>
  </si>
  <si>
    <t>Hi-Stepper-3-41.5</t>
  </si>
  <si>
    <t>Hi-Stepper-3-41.6</t>
  </si>
  <si>
    <t>Hi-Stepper-3-41.7</t>
  </si>
  <si>
    <t>Hi-Stepper-3-41.8</t>
  </si>
  <si>
    <t>Hi-Stepper-3-41.9</t>
  </si>
  <si>
    <t>Hi-Stepper-3-42</t>
  </si>
  <si>
    <t>Hi-Stepper-3-42.1</t>
  </si>
  <si>
    <t>Hi-Stepper-3-42.2</t>
  </si>
  <si>
    <t>Hi-Stepper-3-42.3</t>
  </si>
  <si>
    <t>Hi-Stepper-3-42.4</t>
  </si>
  <si>
    <t>Hi-Stepper-3-42.5</t>
  </si>
  <si>
    <t>Hi-Stepper-3-42.6</t>
  </si>
  <si>
    <t>Hi-Stepper-3-42.7</t>
  </si>
  <si>
    <t>Hi-Stepper-3-42.8</t>
  </si>
  <si>
    <t>Hi-Stepper-3-42.9</t>
  </si>
  <si>
    <t>Hi-Stepper-3-43</t>
  </si>
  <si>
    <t>Hi-Stepper-3-43.1</t>
  </si>
  <si>
    <t>Hi-Stepper-3-43.2</t>
  </si>
  <si>
    <t>Hi-Stepper-3-43.3</t>
  </si>
  <si>
    <t>Hi-Stepper-3-43.4</t>
  </si>
  <si>
    <t>Hi-Stepper-3-43.5</t>
  </si>
  <si>
    <t>Hi-Stepper-3-43.6</t>
  </si>
  <si>
    <t>Hi-Stepper-3-43.7</t>
  </si>
  <si>
    <t>Hi-Stepper-3-43.8</t>
  </si>
  <si>
    <t>Hi-Stepper-3-43.9</t>
  </si>
  <si>
    <t>Hi-Stepper-3-44</t>
  </si>
  <si>
    <t>Hi-Stepper-3-44.1</t>
  </si>
  <si>
    <t>Hi-Stepper-3-44.2</t>
  </si>
  <si>
    <t>Hi-Stepper-3-44.3</t>
  </si>
  <si>
    <t>Hi-Stepper-3-44.4</t>
  </si>
  <si>
    <t>Hi-Stepper-3-44.5</t>
  </si>
  <si>
    <t>Hi-Stepper-3-44.6</t>
  </si>
  <si>
    <t>Hi-Stepper-3-44.7</t>
  </si>
  <si>
    <t>Hi-Stepper-3-44.8</t>
  </si>
  <si>
    <t>Hi-Stepper-3-44.9</t>
  </si>
  <si>
    <t>Hi-Stepper-3-45</t>
  </si>
  <si>
    <t>Hi-Stepper-3-45.1</t>
  </si>
  <si>
    <t>Hi-Stepper-3-45.2</t>
  </si>
  <si>
    <t>Hi-Stepper-3-45.3</t>
  </si>
  <si>
    <t>Hi-Stepper-3-45.4</t>
  </si>
  <si>
    <t>Hi-Stepper-3-45.5</t>
  </si>
  <si>
    <t>Hi-Stepper-3-45.6</t>
  </si>
  <si>
    <t>Hi-Stepper-3-45.7</t>
  </si>
  <si>
    <t>Hi-Stepper-3-45.8</t>
  </si>
  <si>
    <t>Hi-Stepper-3-45.9</t>
  </si>
  <si>
    <t>Hi-Stepper-3-46</t>
  </si>
  <si>
    <t>Hi-Stepper-3-46.1</t>
  </si>
  <si>
    <t>Hi-Stepper-3-46.2</t>
  </si>
  <si>
    <t>Hi-Stepper-3-46.3</t>
  </si>
  <si>
    <t>Hi-Stepper-3-46.4</t>
  </si>
  <si>
    <t>Hi-Stepper-3-46.5</t>
  </si>
  <si>
    <t>Hi-Stepper-3-46.6</t>
  </si>
  <si>
    <t>Hi-Stepper-3-46.7</t>
  </si>
  <si>
    <t>Hi-Stepper-3-46.8</t>
  </si>
  <si>
    <t>Hi-Stepper-3-46.9</t>
  </si>
  <si>
    <t>Hi-Stepper-3-47</t>
  </si>
  <si>
    <t>Hi-Stepper-3-47.1</t>
  </si>
  <si>
    <t>Hi-Stepper-3-47.2</t>
  </si>
  <si>
    <t>Hi-Stepper-3-47.3</t>
  </si>
  <si>
    <t>Hi-Stepper-3-47.4</t>
  </si>
  <si>
    <t>Hi-Stepper-3-47.5</t>
  </si>
  <si>
    <t>Hi-Stepper-3-47.6</t>
  </si>
  <si>
    <t>Hi-Stepper-3-47.7</t>
  </si>
  <si>
    <t>Hi-Stepper-3-47.8</t>
  </si>
  <si>
    <t>Hi-Stepper-3-47.9</t>
  </si>
  <si>
    <t>Hi-Stepper-3-48</t>
  </si>
  <si>
    <t>Hi-Stepper-3-48.1</t>
  </si>
  <si>
    <t>Hi-Stepper-3-48.2</t>
  </si>
  <si>
    <t>Hi-Stepper-3-48.3</t>
  </si>
  <si>
    <t>Hi-Stepper-3-48.4</t>
  </si>
  <si>
    <t>Hi-Stepper-3-48.5</t>
  </si>
  <si>
    <t>Hi-Stepper-3-48.6</t>
  </si>
  <si>
    <t>Hi-Stepper-3-48.7</t>
  </si>
  <si>
    <t>Hi-Stepper-3-48.8</t>
  </si>
  <si>
    <t>Hi-Stepper-3-48.9</t>
  </si>
  <si>
    <t>Hi-Stepper-3-49</t>
  </si>
  <si>
    <t>Hi-Stepper-3-49.1</t>
  </si>
  <si>
    <t>Hi-Stepper-3-49.2</t>
  </si>
  <si>
    <t>Hi-Stepper-3-49.3</t>
  </si>
  <si>
    <t>Hi-Stepper-3-49.4</t>
  </si>
  <si>
    <t>Hi-Stepper-3-49.5</t>
  </si>
  <si>
    <t>Hi-Stepper-3-49.6</t>
  </si>
  <si>
    <t>Hi-Stepper-3-49.7</t>
  </si>
  <si>
    <t>Hi-Stepper-3-49.8</t>
  </si>
  <si>
    <t>Hi-Stepper-3-49.9</t>
  </si>
  <si>
    <t>Hi-Stepper-3-50</t>
  </si>
  <si>
    <t>Hi-Stepper-3-50.1</t>
  </si>
  <si>
    <t>Hi-Stepper-3-50.2</t>
  </si>
  <si>
    <t>Hi-Stepper-3-50.3</t>
  </si>
  <si>
    <t>Hi-Stepper-3-50.4</t>
  </si>
  <si>
    <t>Hi-Stepper-3-50.5</t>
  </si>
  <si>
    <t>Hi-Stepper-3-50.6</t>
  </si>
  <si>
    <t>Hi-Stepper-3-50.7</t>
  </si>
  <si>
    <t>Hi-Stepper-3-50.8</t>
  </si>
  <si>
    <t>Hi-Stepper-3-50.9</t>
  </si>
  <si>
    <t>Hi-Stepper-3-51</t>
  </si>
  <si>
    <t>Hi-Stepper-3-51.1</t>
  </si>
  <si>
    <t>Hi-Stepper-3-51.2</t>
  </si>
  <si>
    <t>Hi-Stepper-3-51.3</t>
  </si>
  <si>
    <t>Hi-Stepper-3-51.4</t>
  </si>
  <si>
    <t>Hi-Stepper-3-51.5</t>
  </si>
  <si>
    <t>Hi-Stepper-3-51.6</t>
  </si>
  <si>
    <t>Hi-Stepper-3-51.7</t>
  </si>
  <si>
    <t>Hi-Stepper-3-51.8</t>
  </si>
  <si>
    <t>Hi-Stepper-3-51.9</t>
  </si>
  <si>
    <t>Hi-Stepper-3-52</t>
  </si>
  <si>
    <t>Hi-Stepper-3-52.1</t>
  </si>
  <si>
    <t>Hi-Stepper-3-52.2</t>
  </si>
  <si>
    <t>Hi-Stepper-3-52.3</t>
  </si>
  <si>
    <t>Hi-Stepper-3-52.4</t>
  </si>
  <si>
    <t>Hi-Stepper-3-52.5</t>
  </si>
  <si>
    <t>Hi-Stepper-3-52.6</t>
  </si>
  <si>
    <t>Hi-Stepper-3-52.7</t>
  </si>
  <si>
    <t>Hi-Stepper-3-52.8</t>
  </si>
  <si>
    <t>Hi-Stepper-3-52.9</t>
  </si>
  <si>
    <t>Hi-Stepper-3-53</t>
  </si>
  <si>
    <t>Hi-Stepper-3-53.1</t>
  </si>
  <si>
    <t>Hi-Stepper-3-53.2</t>
  </si>
  <si>
    <t>Hi-Stepper-3-53.3</t>
  </si>
  <si>
    <t>Hi-Stepper-3-53.4</t>
  </si>
  <si>
    <t>Hi-Stepper-3-53.5</t>
  </si>
  <si>
    <t>Hi-Stepper-3-53.6</t>
  </si>
  <si>
    <t>Hi-Stepper-3-53.7</t>
  </si>
  <si>
    <t>Hi-Stepper-3-53.8</t>
  </si>
  <si>
    <t>Hi-Stepper-3-53.9</t>
  </si>
  <si>
    <t>Hi-Stepper-3-54</t>
  </si>
  <si>
    <t>Hi-Stepper-3-54.1</t>
  </si>
  <si>
    <t>Hi-Stepper-3-54.2</t>
  </si>
  <si>
    <t>Hi-Stepper-3-54.3</t>
  </si>
  <si>
    <t>Hi-Stepper-3-54.4</t>
  </si>
  <si>
    <t>Hi-Stepper-3-54.5</t>
  </si>
  <si>
    <t>Hi-Stepper-3-54.6</t>
  </si>
  <si>
    <t>Hi-Stepper-3-54.7</t>
  </si>
  <si>
    <t>Hi-Stepper-3-54.8</t>
  </si>
  <si>
    <t>Hi-Stepper-3-54.9</t>
  </si>
  <si>
    <t>Hi-Stepper-3-55</t>
  </si>
  <si>
    <t>Hi-Stepper-3-55.1</t>
  </si>
  <si>
    <t>Hi-Stepper-3-55.2</t>
  </si>
  <si>
    <t>Hi-Stepper-3-55.3</t>
  </si>
  <si>
    <t>Hi-Stepper-3-55.4</t>
  </si>
  <si>
    <t>Hi-Stepper-3-55.5</t>
  </si>
  <si>
    <t>Hi-Stepper-3-55.6</t>
  </si>
  <si>
    <t>Hi-Stepper-3-55.7</t>
  </si>
  <si>
    <t>Hi-Stepper-3-55.8</t>
  </si>
  <si>
    <t>Hi-Stepper-3-55.9</t>
  </si>
  <si>
    <t>Hi-Stepper-3-56</t>
  </si>
  <si>
    <t>Hi-Stepper-3-56.1</t>
  </si>
  <si>
    <t>Hi-Stepper-3-56.2</t>
  </si>
  <si>
    <t>Hi-Stepper-3-56.3</t>
  </si>
  <si>
    <t>Hi-Stepper-3-56.4</t>
  </si>
  <si>
    <t>Hi-Stepper-3-56.5</t>
  </si>
  <si>
    <t>Hi-Stepper-3-56.6</t>
  </si>
  <si>
    <t>Hi-Stepper-3-56.7</t>
  </si>
  <si>
    <t>Hi-Stepper-3-56.8</t>
  </si>
  <si>
    <t>Hi-Stepper-3-56.9</t>
  </si>
  <si>
    <t>Hi-Stepper-3-57</t>
  </si>
  <si>
    <t>Hi-Stepper-3-57.1</t>
  </si>
  <si>
    <t>Hi-Stepper-3-57.2</t>
  </si>
  <si>
    <t>Hi-Stepper-3-57.3</t>
  </si>
  <si>
    <t>Hi-Stepper-3-57.4</t>
  </si>
  <si>
    <t>Hi-Stepper-3-57.5</t>
  </si>
  <si>
    <t>Hi-Stepper-3-57.6</t>
  </si>
  <si>
    <t>Hi-Stepper-3-57.7</t>
  </si>
  <si>
    <t>Hi-Stepper-3-57.8</t>
  </si>
  <si>
    <t>Hi-Stepper-3-57.9</t>
  </si>
  <si>
    <t>Hi-Stepper-3-58</t>
  </si>
  <si>
    <t>Hi-Stepper-3-58.1</t>
  </si>
  <si>
    <t>Hi-Stepper-3-58.2</t>
  </si>
  <si>
    <t>Hi-Stepper-3-58.3</t>
  </si>
  <si>
    <t>Hi-Stepper-3-58.4</t>
  </si>
  <si>
    <t>Hi-Stepper-3-58.5</t>
  </si>
  <si>
    <t>Hi-Stepper-3-58.6</t>
  </si>
  <si>
    <t>Hi-Stepper-3-58.7</t>
  </si>
  <si>
    <t>Hi-Stepper-3-58.8</t>
  </si>
  <si>
    <t>Hi-Stepper-3-58.9</t>
  </si>
  <si>
    <t>Hi-Stepper-3-59</t>
  </si>
  <si>
    <t>Hi-Stepper-3-59.1</t>
  </si>
  <si>
    <t>Hi-Stepper-3-59.2</t>
  </si>
  <si>
    <t>Hi-Stepper-3-59.3</t>
  </si>
  <si>
    <t>Hi-Stepper-3-59.4</t>
  </si>
  <si>
    <t>Hi-Stepper-3-59.5</t>
  </si>
  <si>
    <t>Hi-Stepper-3-59.6</t>
  </si>
  <si>
    <t>Hi-Stepper-3-59.7</t>
  </si>
  <si>
    <t>Hi-Stepper-3-59.8</t>
  </si>
  <si>
    <t>Hi-Stepper-3-59.9</t>
  </si>
  <si>
    <t>Hi-Stepper-3-60</t>
  </si>
  <si>
    <t>Hi-Stepper-3-60.1</t>
  </si>
  <si>
    <t>Hi-Stepper-3-60.2</t>
  </si>
  <si>
    <t>Hi-Stepper-3-60.3</t>
  </si>
  <si>
    <t>Hi-Stepper-3-60.4</t>
  </si>
  <si>
    <t>Hi-Stepper-3-60.5</t>
  </si>
  <si>
    <t>Hi-Stepper-3-60.6</t>
  </si>
  <si>
    <t>Hi-Stepper-3-60.7</t>
  </si>
  <si>
    <t>Hi-Stepper-3-60.8</t>
  </si>
  <si>
    <t>Hi-Stepper-3-60.9</t>
  </si>
  <si>
    <t>Hi-Stepper-3-61</t>
  </si>
  <si>
    <t>Hi-Stepper-3-61.1</t>
  </si>
  <si>
    <t>Hi-Stepper-3-61.2</t>
  </si>
  <si>
    <t>Hi-Stepper-3-61.3</t>
  </si>
  <si>
    <t>Hi-Stepper-3-61.4</t>
  </si>
  <si>
    <t>Hi-Stepper-3-61.5</t>
  </si>
  <si>
    <t>Hi-Stepper-3-61.6</t>
  </si>
  <si>
    <t>Hi-Stepper-3-61.7</t>
  </si>
  <si>
    <t>Hi-Stepper-3-61.8</t>
  </si>
  <si>
    <t>Hi-Stepper-3-61.9</t>
  </si>
  <si>
    <t>Hi-Stepper-3-62</t>
  </si>
  <si>
    <t>Hi-Stepper-3-62.1</t>
  </si>
  <si>
    <t>Hi-Stepper-3-62.2</t>
  </si>
  <si>
    <t>Hi-Stepper-3-62.3</t>
  </si>
  <si>
    <t>Hi-Stepper-3-62.4</t>
  </si>
  <si>
    <t>Hi-Stepper-3-62.5</t>
  </si>
  <si>
    <t>Hi-Stepper-3-62.6</t>
  </si>
  <si>
    <t>Hi-Stepper-3-62.7</t>
  </si>
  <si>
    <t>Hi-Stepper-3-62.8</t>
  </si>
  <si>
    <t>Hi-Stepper-3-62.9</t>
  </si>
  <si>
    <t>Hi-Stepper-3-63</t>
  </si>
  <si>
    <t>Hi-Stepper-3-63.1</t>
  </si>
  <si>
    <t>Hi-Stepper-3-63.2</t>
  </si>
  <si>
    <t>Hi-Stepper-3-63.3</t>
  </si>
  <si>
    <t>Hi-Stepper-3-63.4</t>
  </si>
  <si>
    <t>Hi-Stepper-3-63.5</t>
  </si>
  <si>
    <t>Hi-Stepper-3-63.6</t>
  </si>
  <si>
    <t>Hi-Stepper-3-63.7</t>
  </si>
  <si>
    <t>Hi-Stepper-3-63.8</t>
  </si>
  <si>
    <t>Hi-Stepper-3-63.9</t>
  </si>
  <si>
    <t>Hi-Stepper-3-64</t>
  </si>
  <si>
    <t>Hi-Stepper-3-64.1</t>
  </si>
  <si>
    <t>Hi-Stepper-3-64.2</t>
  </si>
  <si>
    <t>Hi-Stepper-3-64.3</t>
  </si>
  <si>
    <t>Hi-Stepper-3-64.4</t>
  </si>
  <si>
    <t>Hi-Stepper-3-64.5</t>
  </si>
  <si>
    <t>Hi-Stepper-3-64.6</t>
  </si>
  <si>
    <t>Hi-Stepper-3-64.7</t>
  </si>
  <si>
    <t>Hi-Stepper-3-64.8</t>
  </si>
  <si>
    <t>Hi-Stepper-3-64.9</t>
  </si>
  <si>
    <t>Hi-Stepper-3-65</t>
  </si>
  <si>
    <t>Hi-Stepper-3-65.1</t>
  </si>
  <si>
    <t>Hi-Stepper-3-65.2</t>
  </si>
  <si>
    <t>Hi-Stepper-3-65.3</t>
  </si>
  <si>
    <t>Hi-Stepper-3-65.4</t>
  </si>
  <si>
    <t>Hi-Stepper-3-65.5</t>
  </si>
  <si>
    <t>Hi-Stepper-3-65.6</t>
  </si>
  <si>
    <t>Hi-Stepper-3-65.7</t>
  </si>
  <si>
    <t>Hi-Stepper-3-65.8</t>
  </si>
  <si>
    <t>Hi-Stepper-3-65.9</t>
  </si>
  <si>
    <t>Hi-Stepper-3-66</t>
  </si>
  <si>
    <t>Hi-Stepper-3-66.1</t>
  </si>
  <si>
    <t>Hi-Stepper-3-66.2</t>
  </si>
  <si>
    <t>Hi-Stepper-3-66.3</t>
  </si>
  <si>
    <t>Hi-Stepper-3-66.4</t>
  </si>
  <si>
    <t>Hi-Stepper-3-66.5</t>
  </si>
  <si>
    <t>Hi-Stepper-3-66.6</t>
  </si>
  <si>
    <t>Hi-Stepper-3-66.7</t>
  </si>
  <si>
    <t>Hi-Stepper-3-66.8</t>
  </si>
  <si>
    <t>Hi-Stepper-3-66.9</t>
  </si>
  <si>
    <t>Hi-Stepper-3-67</t>
  </si>
  <si>
    <t>Hi-Stepper-3-67.1</t>
  </si>
  <si>
    <t>Hi-Stepper-3-67.2</t>
  </si>
  <si>
    <t>Hi-Stepper-3-67.3</t>
  </si>
  <si>
    <t>Hi-Stepper-3-67.4</t>
  </si>
  <si>
    <t>Hi-Stepper-3-67.5</t>
  </si>
  <si>
    <t>Hi-Stepper-3-67.6</t>
  </si>
  <si>
    <t>Hi-Stepper-3-67.7</t>
  </si>
  <si>
    <t>Hi-Stepper-3-67.8</t>
  </si>
  <si>
    <t>Hi-Stepper-3-67.9</t>
  </si>
  <si>
    <t>Hi-Stepper-3-68</t>
  </si>
  <si>
    <t>Hi-Stepper-3-68.1</t>
  </si>
  <si>
    <t>Hi-Stepper-3-68.2</t>
  </si>
  <si>
    <t>Hi-Stepper-3-68.3</t>
  </si>
  <si>
    <t>Hi-Stepper-3-68.4</t>
  </si>
  <si>
    <t>Hi-Stepper-3-68.5</t>
  </si>
  <si>
    <t>Hi-Stepper-3-68.6</t>
  </si>
  <si>
    <t>Hi-Stepper-3-68.7</t>
  </si>
  <si>
    <t>Hi-Stepper-3-68.8</t>
  </si>
  <si>
    <t>Hi-Stepper-3-68.9</t>
  </si>
  <si>
    <t>Hi-Stepper-3-69</t>
  </si>
  <si>
    <t>Hi-Stepper-3-69.1</t>
  </si>
  <si>
    <t>Hi-Stepper-3-69.2</t>
  </si>
  <si>
    <t>Hi-Stepper-3-69.3</t>
  </si>
  <si>
    <t>Hi-Stepper-3-69.4</t>
  </si>
  <si>
    <t>Hi-Stepper-3-69.5</t>
  </si>
  <si>
    <t>Hi-Stepper-3-69.6</t>
  </si>
  <si>
    <t>Hi-Stepper-3-69.7</t>
  </si>
  <si>
    <t>Hi-Stepper-3-69.8</t>
  </si>
  <si>
    <t>Hi-Stepper-3-69.9</t>
  </si>
  <si>
    <t>Hi-Stepper-3-70</t>
  </si>
  <si>
    <t>Hi-Stepper-4-12.7</t>
  </si>
  <si>
    <t>Hi-Stepper-4-12.8</t>
  </si>
  <si>
    <t>Hi-Stepper-4-12.9</t>
  </si>
  <si>
    <t>Hi-Stepper-4-13</t>
  </si>
  <si>
    <t>Hi-Stepper-4-13.1</t>
  </si>
  <si>
    <t>Hi-Stepper-4-13.2</t>
  </si>
  <si>
    <t>Hi-Stepper-4-13.3</t>
  </si>
  <si>
    <t>Hi-Stepper-4-13.4</t>
  </si>
  <si>
    <t>Hi-Stepper-4-13.5</t>
  </si>
  <si>
    <t>Hi-Stepper-4-13.6</t>
  </si>
  <si>
    <t>Hi-Stepper-4-13.7</t>
  </si>
  <si>
    <t>Hi-Stepper-4-13.8</t>
  </si>
  <si>
    <t>Hi-Stepper-4-13.9</t>
  </si>
  <si>
    <t>Hi-Stepper-4-14</t>
  </si>
  <si>
    <t>Hi-Stepper-4-14.1</t>
  </si>
  <si>
    <t>Hi-Stepper-4-14.2</t>
  </si>
  <si>
    <t>Hi-Stepper-4-14.3</t>
  </si>
  <si>
    <t>Hi-Stepper-4-14.4</t>
  </si>
  <si>
    <t>Hi-Stepper-4-14.5</t>
  </si>
  <si>
    <t>Hi-Stepper-4-14.6</t>
  </si>
  <si>
    <t>Hi-Stepper-4-14.7</t>
  </si>
  <si>
    <t>Hi-Stepper-4-14.8</t>
  </si>
  <si>
    <t>Hi-Stepper-4-14.9</t>
  </si>
  <si>
    <t>Hi-Stepper-4-15</t>
  </si>
  <si>
    <t>Hi-Stepper-4-15.1</t>
  </si>
  <si>
    <t>Hi-Stepper-4-15.2</t>
  </si>
  <si>
    <t>Hi-Stepper-4-15.3</t>
  </si>
  <si>
    <t>Hi-Stepper-4-15.4</t>
  </si>
  <si>
    <t>Hi-Stepper-4-15.5</t>
  </si>
  <si>
    <t>Hi-Stepper-4-15.6</t>
  </si>
  <si>
    <t>Hi-Stepper-4-15.7</t>
  </si>
  <si>
    <t>Hi-Stepper-4-15.8</t>
  </si>
  <si>
    <t>Hi-Stepper-4-15.9</t>
  </si>
  <si>
    <t>Hi-Stepper-4-16</t>
  </si>
  <si>
    <t>Hi-Stepper-4-16.1</t>
  </si>
  <si>
    <t>Hi-Stepper-4-16.2</t>
  </si>
  <si>
    <t>Hi-Stepper-4-16.3</t>
  </si>
  <si>
    <t>Hi-Stepper-4-16.4</t>
  </si>
  <si>
    <t>Hi-Stepper-4-16.5</t>
  </si>
  <si>
    <t>Hi-Stepper-4-16.6</t>
  </si>
  <si>
    <t>Hi-Stepper-4-16.7</t>
  </si>
  <si>
    <t>Hi-Stepper-4-16.8</t>
  </si>
  <si>
    <t>Hi-Stepper-4-16.9</t>
  </si>
  <si>
    <t>Hi-Stepper-4-17</t>
  </si>
  <si>
    <t>Hi-Stepper-4-17.1</t>
  </si>
  <si>
    <t>Hi-Stepper-4-17.2</t>
  </si>
  <si>
    <t>Hi-Stepper-4-17.3</t>
  </si>
  <si>
    <t>Hi-Stepper-4-17.4</t>
  </si>
  <si>
    <t>Hi-Stepper-4-17.5</t>
  </si>
  <si>
    <t>Hi-Stepper-4-17.6</t>
  </si>
  <si>
    <t>Hi-Stepper-4-17.7</t>
  </si>
  <si>
    <t>Hi-Stepper-4-17.8</t>
  </si>
  <si>
    <t>Hi-Stepper-4-17.9</t>
  </si>
  <si>
    <t>Hi-Stepper-4-18</t>
  </si>
  <si>
    <t>Hi-Stepper-4-18.1</t>
  </si>
  <si>
    <t>Hi-Stepper-4-18.2</t>
  </si>
  <si>
    <t>Hi-Stepper-4-18.3</t>
  </si>
  <si>
    <t>Hi-Stepper-4-18.4</t>
  </si>
  <si>
    <t>Hi-Stepper-4-18.5</t>
  </si>
  <si>
    <t>Hi-Stepper-4-18.6</t>
  </si>
  <si>
    <t>Hi-Stepper-4-18.7</t>
  </si>
  <si>
    <t>Hi-Stepper-4-18.8</t>
  </si>
  <si>
    <t>Hi-Stepper-4-18.9</t>
  </si>
  <si>
    <t>Hi-Stepper-4-19</t>
  </si>
  <si>
    <t>Hi-Stepper-4-19.1</t>
  </si>
  <si>
    <t>Hi-Stepper-4-19.2</t>
  </si>
  <si>
    <t>Hi-Stepper-4-19.3</t>
  </si>
  <si>
    <t>Hi-Stepper-4-19.4</t>
  </si>
  <si>
    <t>Hi-Stepper-4-19.5</t>
  </si>
  <si>
    <t>Hi-Stepper-4-19.6</t>
  </si>
  <si>
    <t>Hi-Stepper-4-19.7</t>
  </si>
  <si>
    <t>Hi-Stepper-4-19.8</t>
  </si>
  <si>
    <t>Hi-Stepper-4-19.9</t>
  </si>
  <si>
    <t>Hi-Stepper-4-20</t>
  </si>
  <si>
    <t>Hi-Stepper-4-20.1</t>
  </si>
  <si>
    <t>Hi-Stepper-4-20.2</t>
  </si>
  <si>
    <t>Hi-Stepper-4-20.3</t>
  </si>
  <si>
    <t>Hi-Stepper-4-20.4</t>
  </si>
  <si>
    <t>Hi-Stepper-4-20.5</t>
  </si>
  <si>
    <t>Hi-Stepper-4-20.6</t>
  </si>
  <si>
    <t>Hi-Stepper-4-20.7</t>
  </si>
  <si>
    <t>Hi-Stepper-4-20.8</t>
  </si>
  <si>
    <t>Hi-Stepper-4-20.9</t>
  </si>
  <si>
    <t>Hi-Stepper-4-21</t>
  </si>
  <si>
    <t>Hi-Stepper-4-21.1</t>
  </si>
  <si>
    <t>Hi-Stepper-4-21.2</t>
  </si>
  <si>
    <t>Hi-Stepper-4-21.3</t>
  </si>
  <si>
    <t>Hi-Stepper-4-21.4</t>
  </si>
  <si>
    <t>Hi-Stepper-4-21.5</t>
  </si>
  <si>
    <t>Hi-Stepper-4-21.6</t>
  </si>
  <si>
    <t>Hi-Stepper-4-21.7</t>
  </si>
  <si>
    <t>Hi-Stepper-4-21.8</t>
  </si>
  <si>
    <t>Hi-Stepper-4-21.9</t>
  </si>
  <si>
    <t>Hi-Stepper-4-22</t>
  </si>
  <si>
    <t>Hi-Stepper-4-22.1</t>
  </si>
  <si>
    <t>Hi-Stepper-4-22.2</t>
  </si>
  <si>
    <t>Hi-Stepper-4-22.3</t>
  </si>
  <si>
    <t>Hi-Stepper-4-22.4</t>
  </si>
  <si>
    <t>Hi-Stepper-4-22.5</t>
  </si>
  <si>
    <t>Hi-Stepper-4-22.6</t>
  </si>
  <si>
    <t>Hi-Stepper-4-22.7</t>
  </si>
  <si>
    <t>Hi-Stepper-4-22.8</t>
  </si>
  <si>
    <t>Hi-Stepper-4-22.9</t>
  </si>
  <si>
    <t>Hi-Stepper-4-23</t>
  </si>
  <si>
    <t>Hi-Stepper-4-23.1</t>
  </si>
  <si>
    <t>Hi-Stepper-4-23.2</t>
  </si>
  <si>
    <t>Hi-Stepper-4-23.3</t>
  </si>
  <si>
    <t>Hi-Stepper-4-23.4</t>
  </si>
  <si>
    <t>Hi-Stepper-4-23.5</t>
  </si>
  <si>
    <t>Hi-Stepper-4-23.6</t>
  </si>
  <si>
    <t>Hi-Stepper-4-23.7</t>
  </si>
  <si>
    <t>Hi-Stepper-4-23.8</t>
  </si>
  <si>
    <t>Hi-Stepper-4-23.9</t>
  </si>
  <si>
    <t>Hi-Stepper-4-24</t>
  </si>
  <si>
    <t>Hi-Stepper-4-24.1</t>
  </si>
  <si>
    <t>Hi-Stepper-4-24.2</t>
  </si>
  <si>
    <t>Hi-Stepper-4-24.3</t>
  </si>
  <si>
    <t>Hi-Stepper-4-24.4</t>
  </si>
  <si>
    <t>Hi-Stepper-4-24.5</t>
  </si>
  <si>
    <t>Hi-Stepper-4-24.6</t>
  </si>
  <si>
    <t>Hi-Stepper-4-24.7</t>
  </si>
  <si>
    <t>Hi-Stepper-4-24.8</t>
  </si>
  <si>
    <t>Hi-Stepper-4-24.9</t>
  </si>
  <si>
    <t>Hi-Stepper-4-25</t>
  </si>
  <si>
    <t>Hi-Stepper-4-25.1</t>
  </si>
  <si>
    <t>Hi-Stepper-4-25.2</t>
  </si>
  <si>
    <t>Hi-Stepper-4-25.3</t>
  </si>
  <si>
    <t>Hi-Stepper-4-25.4</t>
  </si>
  <si>
    <t>Hi-Stepper-4-25.5</t>
  </si>
  <si>
    <t>Hi-Stepper-4-25.6</t>
  </si>
  <si>
    <t>Hi-Stepper-4-25.7</t>
  </si>
  <si>
    <t>Hi-Stepper-4-25.8</t>
  </si>
  <si>
    <t>Hi-Stepper-4-25.9</t>
  </si>
  <si>
    <t>Hi-Stepper-4-26</t>
  </si>
  <si>
    <t>Hi-Stepper-4-26.1</t>
  </si>
  <si>
    <t>Hi-Stepper-4-26.2</t>
  </si>
  <si>
    <t>Hi-Stepper-4-26.3</t>
  </si>
  <si>
    <t>Hi-Stepper-4-26.4</t>
  </si>
  <si>
    <t>Hi-Stepper-4-26.5</t>
  </si>
  <si>
    <t>Hi-Stepper-4-26.6</t>
  </si>
  <si>
    <t>Hi-Stepper-4-26.7</t>
  </si>
  <si>
    <t>Hi-Stepper-4-26.8</t>
  </si>
  <si>
    <t>Hi-Stepper-4-26.9</t>
  </si>
  <si>
    <t>Hi-Stepper-4-27</t>
  </si>
  <si>
    <t>Hi-Stepper-4-27.1</t>
  </si>
  <si>
    <t>Hi-Stepper-4-27.2</t>
  </si>
  <si>
    <t>Hi-Stepper-4-27.3</t>
  </si>
  <si>
    <t>Hi-Stepper-4-27.4</t>
  </si>
  <si>
    <t>Hi-Stepper-4-27.5</t>
  </si>
  <si>
    <t>Hi-Stepper-4-27.6</t>
  </si>
  <si>
    <t>Hi-Stepper-4-27.7</t>
  </si>
  <si>
    <t>Hi-Stepper-4-27.8</t>
  </si>
  <si>
    <t>Hi-Stepper-4-27.9</t>
  </si>
  <si>
    <t>Hi-Stepper-4-28</t>
  </si>
  <si>
    <t>Hi-Stepper-4-28.1</t>
  </si>
  <si>
    <t>Hi-Stepper-4-28.2</t>
  </si>
  <si>
    <t>Hi-Stepper-4-28.3</t>
  </si>
  <si>
    <t>Hi-Stepper-4-28.4</t>
  </si>
  <si>
    <t>Hi-Stepper-4-28.5</t>
  </si>
  <si>
    <t>Hi-Stepper-4-28.6</t>
  </si>
  <si>
    <t>Hi-Stepper-4-28.7</t>
  </si>
  <si>
    <t>Hi-Stepper-4-28.8</t>
  </si>
  <si>
    <t>Hi-Stepper-4-28.9</t>
  </si>
  <si>
    <t>Hi-Stepper-4-29</t>
  </si>
  <si>
    <t>Hi-Stepper-4-29.1</t>
  </si>
  <si>
    <t>Hi-Stepper-4-29.2</t>
  </si>
  <si>
    <t>Hi-Stepper-4-29.3</t>
  </si>
  <si>
    <t>Hi-Stepper-4-29.4</t>
  </si>
  <si>
    <t>Hi-Stepper-4-29.5</t>
  </si>
  <si>
    <t>Hi-Stepper-4-29.6</t>
  </si>
  <si>
    <t>Hi-Stepper-4-29.7</t>
  </si>
  <si>
    <t>Hi-Stepper-4-29.8</t>
  </si>
  <si>
    <t>Hi-Stepper-4-29.9</t>
  </si>
  <si>
    <t>Hi-Stepper-4-30</t>
  </si>
  <si>
    <t>Hi-Stepper-4-30.1</t>
  </si>
  <si>
    <t>Hi-Stepper-4-30.2</t>
  </si>
  <si>
    <t>Hi-Stepper-4-30.3</t>
  </si>
  <si>
    <t>Hi-Stepper-4-30.4</t>
  </si>
  <si>
    <t>Hi-Stepper-4-30.5</t>
  </si>
  <si>
    <t>Hi-Stepper-4-30.6</t>
  </si>
  <si>
    <t>Hi-Stepper-4-30.7</t>
  </si>
  <si>
    <t>Hi-Stepper-4-30.8</t>
  </si>
  <si>
    <t>Hi-Stepper-4-30.9</t>
  </si>
  <si>
    <t>Hi-Stepper-4-31</t>
  </si>
  <si>
    <t>Hi-Stepper-4-31.1</t>
  </si>
  <si>
    <t>Hi-Stepper-4-31.2</t>
  </si>
  <si>
    <t>Hi-Stepper-4-31.3</t>
  </si>
  <si>
    <t>Hi-Stepper-4-31.4</t>
  </si>
  <si>
    <t>Hi-Stepper-4-31.5</t>
  </si>
  <si>
    <t>Hi-Stepper-4-31.6</t>
  </si>
  <si>
    <t>Hi-Stepper-4-31.7</t>
  </si>
  <si>
    <t>Hi-Stepper-4-31.8</t>
  </si>
  <si>
    <t>Hi-Stepper-4-31.9</t>
  </si>
  <si>
    <t>Hi-Stepper-4-32</t>
  </si>
  <si>
    <t>Hi-Stepper-4-32.1</t>
  </si>
  <si>
    <t>Hi-Stepper-4-32.2</t>
  </si>
  <si>
    <t>Hi-Stepper-4-32.3</t>
  </si>
  <si>
    <t>Hi-Stepper-4-32.4</t>
  </si>
  <si>
    <t>Hi-Stepper-4-32.5</t>
  </si>
  <si>
    <t>Hi-Stepper-4-32.6</t>
  </si>
  <si>
    <t>Hi-Stepper-4-32.7</t>
  </si>
  <si>
    <t>Hi-Stepper-4-32.8</t>
  </si>
  <si>
    <t>Hi-Stepper-4-32.9</t>
  </si>
  <si>
    <t>Hi-Stepper-4-33</t>
  </si>
  <si>
    <t>Hi-Stepper-4-33.1</t>
  </si>
  <si>
    <t>Hi-Stepper-4-33.2</t>
  </si>
  <si>
    <t>Hi-Stepper-4-33.3</t>
  </si>
  <si>
    <t>Hi-Stepper-4-33.4</t>
  </si>
  <si>
    <t>Hi-Stepper-4-33.5</t>
  </si>
  <si>
    <t>Hi-Stepper-4-33.6</t>
  </si>
  <si>
    <t>Hi-Stepper-4-33.7</t>
  </si>
  <si>
    <t>Hi-Stepper-4-33.8</t>
  </si>
  <si>
    <t>Hi-Stepper-4-33.9</t>
  </si>
  <si>
    <t>Hi-Stepper-4-34</t>
  </si>
  <si>
    <t>Hi-Stepper-4-34.1</t>
  </si>
  <si>
    <t>Hi-Stepper-4-34.2</t>
  </si>
  <si>
    <t>Hi-Stepper-4-34.3</t>
  </si>
  <si>
    <t>Hi-Stepper-4-34.4</t>
  </si>
  <si>
    <t>Hi-Stepper-4-34.5</t>
  </si>
  <si>
    <t>Hi-Stepper-4-34.6</t>
  </si>
  <si>
    <t>Hi-Stepper-4-34.7</t>
  </si>
  <si>
    <t>Hi-Stepper-4-34.8</t>
  </si>
  <si>
    <t>Hi-Stepper-4-34.9</t>
  </si>
  <si>
    <t>Hi-Stepper-4-35</t>
  </si>
  <si>
    <t>Hi-Stepper-4-35.1</t>
  </si>
  <si>
    <t>Hi-Stepper-4-35.2</t>
  </si>
  <si>
    <t>Hi-Stepper-4-35.3</t>
  </si>
  <si>
    <t>Hi-Stepper-4-35.4</t>
  </si>
  <si>
    <t>Hi-Stepper-4-35.5</t>
  </si>
  <si>
    <t>Hi-Stepper-4-35.6</t>
  </si>
  <si>
    <t>Hi-Stepper-4-35.7</t>
  </si>
  <si>
    <t>Hi-Stepper-4-35.8</t>
  </si>
  <si>
    <t>Hi-Stepper-4-35.9</t>
  </si>
  <si>
    <t>Hi-Stepper-4-36</t>
  </si>
  <si>
    <t>Hi-Stepper-4-36.1</t>
  </si>
  <si>
    <t>Hi-Stepper-4-36.2</t>
  </si>
  <si>
    <t>Hi-Stepper-4-36.3</t>
  </si>
  <si>
    <t>Hi-Stepper-4-36.4</t>
  </si>
  <si>
    <t>Hi-Stepper-4-36.5</t>
  </si>
  <si>
    <t>Hi-Stepper-4-36.6</t>
  </si>
  <si>
    <t>Hi-Stepper-4-36.7</t>
  </si>
  <si>
    <t>Hi-Stepper-4-36.8</t>
  </si>
  <si>
    <t>Hi-Stepper-4-36.9</t>
  </si>
  <si>
    <t>Hi-Stepper-4-37</t>
  </si>
  <si>
    <t>Hi-Stepper-4-37.1</t>
  </si>
  <si>
    <t>Hi-Stepper-4-37.2</t>
  </si>
  <si>
    <t>Hi-Stepper-4-37.3</t>
  </si>
  <si>
    <t>Hi-Stepper-4-37.4</t>
  </si>
  <si>
    <t>Hi-Stepper-4-37.5</t>
  </si>
  <si>
    <t>Hi-Stepper-4-37.6</t>
  </si>
  <si>
    <t>Hi-Stepper-4-37.7</t>
  </si>
  <si>
    <t>Hi-Stepper-4-37.8</t>
  </si>
  <si>
    <t>Hi-Stepper-4-37.9</t>
  </si>
  <si>
    <t>Hi-Stepper-4-38</t>
  </si>
  <si>
    <t>Hi-Stepper-4-38.1</t>
  </si>
  <si>
    <t>Hi-Stepper-4-38.2</t>
  </si>
  <si>
    <t>Hi-Stepper-4-38.3</t>
  </si>
  <si>
    <t>Hi-Stepper-4-38.4</t>
  </si>
  <si>
    <t>Hi-Stepper-4-38.5</t>
  </si>
  <si>
    <t>Hi-Stepper-4-38.6</t>
  </si>
  <si>
    <t>Hi-Stepper-4-38.7</t>
  </si>
  <si>
    <t>Hi-Stepper-4-38.8</t>
  </si>
  <si>
    <t>Hi-Stepper-4-38.9</t>
  </si>
  <si>
    <t>Hi-Stepper-4-39</t>
  </si>
  <si>
    <t>Hi-Stepper-4-39.1</t>
  </si>
  <si>
    <t>Hi-Stepper-4-39.2</t>
  </si>
  <si>
    <t>Hi-Stepper-4-39.3</t>
  </si>
  <si>
    <t>Hi-Stepper-4-39.4</t>
  </si>
  <si>
    <t>Hi-Stepper-4-39.5</t>
  </si>
  <si>
    <t>Hi-Stepper-4-39.6</t>
  </si>
  <si>
    <t>Hi-Stepper-4-39.7</t>
  </si>
  <si>
    <t>Hi-Stepper-4-39.8</t>
  </si>
  <si>
    <t>Hi-Stepper-4-39.9</t>
  </si>
  <si>
    <t>Hi-Stepper-4-40</t>
  </si>
  <si>
    <t>Hi-Stepper-4-40.1</t>
  </si>
  <si>
    <t>Hi-Stepper-4-40.2</t>
  </si>
  <si>
    <t>Hi-Stepper-4-40.3</t>
  </si>
  <si>
    <t>Hi-Stepper-4-40.4</t>
  </si>
  <si>
    <t>Hi-Stepper-4-40.5</t>
  </si>
  <si>
    <t>Hi-Stepper-4-40.6</t>
  </si>
  <si>
    <t>Hi-Stepper-4-40.7</t>
  </si>
  <si>
    <t>Hi-Stepper-4-40.8</t>
  </si>
  <si>
    <t>Hi-Stepper-4-40.9</t>
  </si>
  <si>
    <t>Hi-Stepper-4-41</t>
  </si>
  <si>
    <t>Hi-Stepper-4-41.1</t>
  </si>
  <si>
    <t>Hi-Stepper-4-41.2</t>
  </si>
  <si>
    <t>Hi-Stepper-4-41.3</t>
  </si>
  <si>
    <t>Hi-Stepper-4-41.4</t>
  </si>
  <si>
    <t>Hi-Stepper-4-41.5</t>
  </si>
  <si>
    <t>Hi-Stepper-4-41.6</t>
  </si>
  <si>
    <t>Hi-Stepper-4-41.7</t>
  </si>
  <si>
    <t>Hi-Stepper-4-41.8</t>
  </si>
  <si>
    <t>Hi-Stepper-4-41.9</t>
  </si>
  <si>
    <t>Hi-Stepper-4-42</t>
  </si>
  <si>
    <t>Hi-Stepper-4-42.1</t>
  </si>
  <si>
    <t>Hi-Stepper-4-42.2</t>
  </si>
  <si>
    <t>Hi-Stepper-4-42.3</t>
  </si>
  <si>
    <t>Hi-Stepper-4-42.4</t>
  </si>
  <si>
    <t>Hi-Stepper-4-42.5</t>
  </si>
  <si>
    <t>Hi-Stepper-4-42.6</t>
  </si>
  <si>
    <t>Hi-Stepper-4-42.7</t>
  </si>
  <si>
    <t>Hi-Stepper-4-42.8</t>
  </si>
  <si>
    <t>Hi-Stepper-4-42.9</t>
  </si>
  <si>
    <t>Hi-Stepper-4-43</t>
  </si>
  <si>
    <t>Hi-Stepper-4-43.1</t>
  </si>
  <si>
    <t>Hi-Stepper-4-43.2</t>
  </si>
  <si>
    <t>Hi-Stepper-4-43.3</t>
  </si>
  <si>
    <t>Hi-Stepper-4-43.4</t>
  </si>
  <si>
    <t>Hi-Stepper-4-43.5</t>
  </si>
  <si>
    <t>Hi-Stepper-4-43.6</t>
  </si>
  <si>
    <t>Hi-Stepper-4-43.7</t>
  </si>
  <si>
    <t>Hi-Stepper-4-43.8</t>
  </si>
  <si>
    <t>Hi-Stepper-4-43.9</t>
  </si>
  <si>
    <t>Hi-Stepper-4-44</t>
  </si>
  <si>
    <t>Hi-Stepper-4-44.1</t>
  </si>
  <si>
    <t>Hi-Stepper-4-44.2</t>
  </si>
  <si>
    <t>Hi-Stepper-4-44.3</t>
  </si>
  <si>
    <t>Hi-Stepper-4-44.4</t>
  </si>
  <si>
    <t>Hi-Stepper-4-44.5</t>
  </si>
  <si>
    <t>Hi-Stepper-4-44.6</t>
  </si>
  <si>
    <t>Hi-Stepper-4-44.7</t>
  </si>
  <si>
    <t>Hi-Stepper-4-44.8</t>
  </si>
  <si>
    <t>Hi-Stepper-4-44.9</t>
  </si>
  <si>
    <t>Hi-Stepper-4-45</t>
  </si>
  <si>
    <t>Hi-Stepper-4-45.1</t>
  </si>
  <si>
    <t>Hi-Stepper-4-45.2</t>
  </si>
  <si>
    <t>Hi-Stepper-4-45.3</t>
  </si>
  <si>
    <t>Hi-Stepper-4-45.4</t>
  </si>
  <si>
    <t>Hi-Stepper-4-45.5</t>
  </si>
  <si>
    <t>Hi-Stepper-4-45.6</t>
  </si>
  <si>
    <t>Hi-Stepper-4-45.7</t>
  </si>
  <si>
    <t>Hi-Stepper-4-45.8</t>
  </si>
  <si>
    <t>Hi-Stepper-4-45.9</t>
  </si>
  <si>
    <t>Hi-Stepper-4-46</t>
  </si>
  <si>
    <t>Hi-Stepper-4-46.1</t>
  </si>
  <si>
    <t>Hi-Stepper-4-46.2</t>
  </si>
  <si>
    <t>Hi-Stepper-4-46.3</t>
  </si>
  <si>
    <t>Hi-Stepper-4-46.4</t>
  </si>
  <si>
    <t>Hi-Stepper-4-46.5</t>
  </si>
  <si>
    <t>Hi-Stepper-4-46.6</t>
  </si>
  <si>
    <t>Hi-Stepper-4-46.7</t>
  </si>
  <si>
    <t>Hi-Stepper-4-46.8</t>
  </si>
  <si>
    <t>Hi-Stepper-4-46.9</t>
  </si>
  <si>
    <t>Hi-Stepper-4-47</t>
  </si>
  <si>
    <t>Hi-Stepper-4-47.1</t>
  </si>
  <si>
    <t>Hi-Stepper-4-47.2</t>
  </si>
  <si>
    <t>Hi-Stepper-4-47.3</t>
  </si>
  <si>
    <t>Hi-Stepper-4-47.4</t>
  </si>
  <si>
    <t>Hi-Stepper-4-47.5</t>
  </si>
  <si>
    <t>Hi-Stepper-4-47.6</t>
  </si>
  <si>
    <t>Hi-Stepper-4-47.7</t>
  </si>
  <si>
    <t>Hi-Stepper-4-47.8</t>
  </si>
  <si>
    <t>Hi-Stepper-4-47.9</t>
  </si>
  <si>
    <t>Hi-Stepper-4-48</t>
  </si>
  <si>
    <t>Hi-Stepper-4-48.1</t>
  </si>
  <si>
    <t>Hi-Stepper-4-48.2</t>
  </si>
  <si>
    <t>Hi-Stepper-4-48.3</t>
  </si>
  <si>
    <t>Hi-Stepper-4-48.4</t>
  </si>
  <si>
    <t>Hi-Stepper-4-48.5</t>
  </si>
  <si>
    <t>Hi-Stepper-4-48.6</t>
  </si>
  <si>
    <t>Hi-Stepper-4-48.7</t>
  </si>
  <si>
    <t>Hi-Stepper-4-48.8</t>
  </si>
  <si>
    <t>Hi-Stepper-4-48.9</t>
  </si>
  <si>
    <t>Hi-Stepper-4-49</t>
  </si>
  <si>
    <t>Hi-Stepper-4-49.1</t>
  </si>
  <si>
    <t>Hi-Stepper-4-49.2</t>
  </si>
  <si>
    <t>Hi-Stepper-4-49.3</t>
  </si>
  <si>
    <t>Hi-Stepper-4-49.4</t>
  </si>
  <si>
    <t>Hi-Stepper-4-49.5</t>
  </si>
  <si>
    <t>Hi-Stepper-4-49.6</t>
  </si>
  <si>
    <t>Hi-Stepper-4-49.7</t>
  </si>
  <si>
    <t>Hi-Stepper-4-49.8</t>
  </si>
  <si>
    <t>Hi-Stepper-4-49.9</t>
  </si>
  <si>
    <t>Hi-Stepper-4-50</t>
  </si>
  <si>
    <t>Hi-Stepper-4-50.1</t>
  </si>
  <si>
    <t>Hi-Stepper-4-50.2</t>
  </si>
  <si>
    <t>Hi-Stepper-4-50.3</t>
  </si>
  <si>
    <t>Hi-Stepper-4-50.4</t>
  </si>
  <si>
    <t>Hi-Stepper-4-50.5</t>
  </si>
  <si>
    <t>Hi-Stepper-4-50.6</t>
  </si>
  <si>
    <t>Hi-Stepper-4-50.7</t>
  </si>
  <si>
    <t>Hi-Stepper-4-50.8</t>
  </si>
  <si>
    <t>Hi-Stepper-4-50.9</t>
  </si>
  <si>
    <t>Hi-Stepper-4-51</t>
  </si>
  <si>
    <t>Hi-Stepper-4-51.1</t>
  </si>
  <si>
    <t>Hi-Stepper-4-51.2</t>
  </si>
  <si>
    <t>Hi-Stepper-4-51.3</t>
  </si>
  <si>
    <t>Hi-Stepper-4-51.4</t>
  </si>
  <si>
    <t>Hi-Stepper-4-51.5</t>
  </si>
  <si>
    <t>Hi-Stepper-4-51.6</t>
  </si>
  <si>
    <t>Hi-Stepper-4-51.7</t>
  </si>
  <si>
    <t>Hi-Stepper-4-51.8</t>
  </si>
  <si>
    <t>Hi-Stepper-4-51.9</t>
  </si>
  <si>
    <t>Hi-Stepper-4-52</t>
  </si>
  <si>
    <t>Hi-Stepper-4-52.1</t>
  </si>
  <si>
    <t>Hi-Stepper-4-52.2</t>
  </si>
  <si>
    <t>Hi-Stepper-4-52.3</t>
  </si>
  <si>
    <t>Hi-Stepper-4-52.4</t>
  </si>
  <si>
    <t>Hi-Stepper-4-52.5</t>
  </si>
  <si>
    <t>Hi-Stepper-4-52.6</t>
  </si>
  <si>
    <t>Hi-Stepper-4-52.7</t>
  </si>
  <si>
    <t>Hi-Stepper-4-52.8</t>
  </si>
  <si>
    <t>Hi-Stepper-4-52.9</t>
  </si>
  <si>
    <t>Hi-Stepper-4-53</t>
  </si>
  <si>
    <t>Hi-Stepper-4-53.1</t>
  </si>
  <si>
    <t>Hi-Stepper-4-53.2</t>
  </si>
  <si>
    <t>Hi-Stepper-4-53.3</t>
  </si>
  <si>
    <t>Hi-Stepper-4-53.4</t>
  </si>
  <si>
    <t>Hi-Stepper-4-53.5</t>
  </si>
  <si>
    <t>Hi-Stepper-4-53.6</t>
  </si>
  <si>
    <t>Hi-Stepper-4-53.7</t>
  </si>
  <si>
    <t>Hi-Stepper-4-53.8</t>
  </si>
  <si>
    <t>Hi-Stepper-4-53.9</t>
  </si>
  <si>
    <t>Hi-Stepper-4-54</t>
  </si>
  <si>
    <t>Hi-Stepper-4-54.1</t>
  </si>
  <si>
    <t>Hi-Stepper-4-54.2</t>
  </si>
  <si>
    <t>Hi-Stepper-4-54.3</t>
  </si>
  <si>
    <t>Hi-Stepper-4-54.4</t>
  </si>
  <si>
    <t>Hi-Stepper-4-54.5</t>
  </si>
  <si>
    <t>Hi-Stepper-4-54.6</t>
  </si>
  <si>
    <t>Hi-Stepper-4-54.7</t>
  </si>
  <si>
    <t>Hi-Stepper-4-54.8</t>
  </si>
  <si>
    <t>Hi-Stepper-4-54.9</t>
  </si>
  <si>
    <t>Hi-Stepper-4-55</t>
  </si>
  <si>
    <t>Hi-Stepper-4-55.1</t>
  </si>
  <si>
    <t>Hi-Stepper-4-55.2</t>
  </si>
  <si>
    <t>Hi-Stepper-4-55.3</t>
  </si>
  <si>
    <t>Hi-Stepper-4-55.4</t>
  </si>
  <si>
    <t>Hi-Stepper-4-55.5</t>
  </si>
  <si>
    <t>Hi-Stepper-4-55.6</t>
  </si>
  <si>
    <t>Hi-Stepper-4-55.7</t>
  </si>
  <si>
    <t>Hi-Stepper-4-55.8</t>
  </si>
  <si>
    <t>Hi-Stepper-4-55.9</t>
  </si>
  <si>
    <t>Hi-Stepper-4-56</t>
  </si>
  <si>
    <t>Hi-Stepper-4-56.1</t>
  </si>
  <si>
    <t>Hi-Stepper-4-56.2</t>
  </si>
  <si>
    <t>Hi-Stepper-4-56.3</t>
  </si>
  <si>
    <t>Hi-Stepper-4-56.4</t>
  </si>
  <si>
    <t>Hi-Stepper-4-56.5</t>
  </si>
  <si>
    <t>Hi-Stepper-4-56.6</t>
  </si>
  <si>
    <t>Hi-Stepper-4-56.7</t>
  </si>
  <si>
    <t>Hi-Stepper-4-56.8</t>
  </si>
  <si>
    <t>Hi-Stepper-4-56.9</t>
  </si>
  <si>
    <t>Hi-Stepper-4-57</t>
  </si>
  <si>
    <t>Hi-Stepper-4-57.1</t>
  </si>
  <si>
    <t>Hi-Stepper-4-57.2</t>
  </si>
  <si>
    <t>Hi-Stepper-4-57.3</t>
  </si>
  <si>
    <t>Hi-Stepper-4-57.4</t>
  </si>
  <si>
    <t>Hi-Stepper-4-57.5</t>
  </si>
  <si>
    <t>Hi-Stepper-4-57.6</t>
  </si>
  <si>
    <t>Hi-Stepper-4-57.7</t>
  </si>
  <si>
    <t>Hi-Stepper-4-57.8</t>
  </si>
  <si>
    <t>Hi-Stepper-4-57.9</t>
  </si>
  <si>
    <t>Hi-Stepper-4-58</t>
  </si>
  <si>
    <t>Hi-Stepper-4-58.1</t>
  </si>
  <si>
    <t>Hi-Stepper-4-58.2</t>
  </si>
  <si>
    <t>Hi-Stepper-4-58.3</t>
  </si>
  <si>
    <t>Hi-Stepper-4-58.4</t>
  </si>
  <si>
    <t>Hi-Stepper-4-58.5</t>
  </si>
  <si>
    <t>Hi-Stepper-4-58.6</t>
  </si>
  <si>
    <t>Hi-Stepper-4-58.7</t>
  </si>
  <si>
    <t>Hi-Stepper-4-58.8</t>
  </si>
  <si>
    <t>Hi-Stepper-4-58.9</t>
  </si>
  <si>
    <t>Hi-Stepper-4-59</t>
  </si>
  <si>
    <t>Hi-Stepper-4-59.1</t>
  </si>
  <si>
    <t>Hi-Stepper-4-59.2</t>
  </si>
  <si>
    <t>Hi-Stepper-4-59.3</t>
  </si>
  <si>
    <t>Hi-Stepper-4-59.4</t>
  </si>
  <si>
    <t>Hi-Stepper-4-59.5</t>
  </si>
  <si>
    <t>Hi-Stepper-4-59.6</t>
  </si>
  <si>
    <t>Hi-Stepper-4-59.7</t>
  </si>
  <si>
    <t>Hi-Stepper-4-59.8</t>
  </si>
  <si>
    <t>Hi-Stepper-4-59.9</t>
  </si>
  <si>
    <t>Hi-Stepper-4-60</t>
  </si>
  <si>
    <t>Hi-Stepper-4-60.1</t>
  </si>
  <si>
    <t>Hi-Stepper-4-60.2</t>
  </si>
  <si>
    <t>Hi-Stepper-4-60.3</t>
  </si>
  <si>
    <t>Hi-Stepper-4-60.4</t>
  </si>
  <si>
    <t>Hi-Stepper-4-60.5</t>
  </si>
  <si>
    <t>Hi-Stepper-4-60.6</t>
  </si>
  <si>
    <t>Hi-Stepper-4-60.7</t>
  </si>
  <si>
    <t>Hi-Stepper-4-60.8</t>
  </si>
  <si>
    <t>Hi-Stepper-4-60.9</t>
  </si>
  <si>
    <t>Hi-Stepper-4-61</t>
  </si>
  <si>
    <t>Hi-Stepper-4-61.1</t>
  </si>
  <si>
    <t>Hi-Stepper-4-61.2</t>
  </si>
  <si>
    <t>Hi-Stepper-4-61.3</t>
  </si>
  <si>
    <t>Hi-Stepper-4-61.4</t>
  </si>
  <si>
    <t>Hi-Stepper-4-61.5</t>
  </si>
  <si>
    <t>Hi-Stepper-4-61.6</t>
  </si>
  <si>
    <t>Hi-Stepper-4-61.7</t>
  </si>
  <si>
    <t>Hi-Stepper-4-61.8</t>
  </si>
  <si>
    <t>Hi-Stepper-4-61.9</t>
  </si>
  <si>
    <t>Hi-Stepper-4-62</t>
  </si>
  <si>
    <t>Hi-Stepper-4-62.1</t>
  </si>
  <si>
    <t>Hi-Stepper-4-62.2</t>
  </si>
  <si>
    <t>Hi-Stepper-4-62.3</t>
  </si>
  <si>
    <t>Hi-Stepper-4-62.4</t>
  </si>
  <si>
    <t>Hi-Stepper-4-62.5</t>
  </si>
  <si>
    <t>Hi-Stepper-4-62.6</t>
  </si>
  <si>
    <t>Hi-Stepper-4-62.7</t>
  </si>
  <si>
    <t>Hi-Stepper-4-62.8</t>
  </si>
  <si>
    <t>Hi-Stepper-4-62.9</t>
  </si>
  <si>
    <t>Hi-Stepper-4-63</t>
  </si>
  <si>
    <t>Hi-Stepper-4-63.1</t>
  </si>
  <si>
    <t>Hi-Stepper-4-63.2</t>
  </si>
  <si>
    <t>Hi-Stepper-4-63.3</t>
  </si>
  <si>
    <t>Hi-Stepper-4-63.4</t>
  </si>
  <si>
    <t>Hi-Stepper-4-63.5</t>
  </si>
  <si>
    <t>Hi-Stepper-4-63.6</t>
  </si>
  <si>
    <t>Hi-Stepper-4-63.7</t>
  </si>
  <si>
    <t>Hi-Stepper-4-63.8</t>
  </si>
  <si>
    <t>Hi-Stepper-4-63.9</t>
  </si>
  <si>
    <t>Hi-Stepper-4-64</t>
  </si>
  <si>
    <t>Hi-Stepper-4-64.1</t>
  </si>
  <si>
    <t>Hi-Stepper-4-64.2</t>
  </si>
  <si>
    <t>Hi-Stepper-4-64.3</t>
  </si>
  <si>
    <t>Hi-Stepper-4-64.4</t>
  </si>
  <si>
    <t>Hi-Stepper-4-64.5</t>
  </si>
  <si>
    <t>Hi-Stepper-4-64.6</t>
  </si>
  <si>
    <t>Hi-Stepper-4-64.7</t>
  </si>
  <si>
    <t>Hi-Stepper-4-64.8</t>
  </si>
  <si>
    <t>Hi-Stepper-4-64.9</t>
  </si>
  <si>
    <t>Hi-Stepper-4-65</t>
  </si>
  <si>
    <t>Hi-Stepper-4-65.1</t>
  </si>
  <si>
    <t>Hi-Stepper-4-65.2</t>
  </si>
  <si>
    <t>Hi-Stepper-4-65.3</t>
  </si>
  <si>
    <t>Hi-Stepper-4-65.4</t>
  </si>
  <si>
    <t>Hi-Stepper-4-65.5</t>
  </si>
  <si>
    <t>Hi-Stepper-4-65.6</t>
  </si>
  <si>
    <t>Hi-Stepper-4-65.7</t>
  </si>
  <si>
    <t>Hi-Stepper-4-65.8</t>
  </si>
  <si>
    <t>Hi-Stepper-4-65.9</t>
  </si>
  <si>
    <t>Hi-Stepper-4-66</t>
  </si>
  <si>
    <t>Hi-Stepper-4-66.1</t>
  </si>
  <si>
    <t>Hi-Stepper-4-66.2</t>
  </si>
  <si>
    <t>Hi-Stepper-4-66.3</t>
  </si>
  <si>
    <t>Hi-Stepper-4-66.4</t>
  </si>
  <si>
    <t>Hi-Stepper-4-66.5</t>
  </si>
  <si>
    <t>Hi-Stepper-4-66.6</t>
  </si>
  <si>
    <t>Hi-Stepper-4-66.7</t>
  </si>
  <si>
    <t>Hi-Stepper-4-66.8</t>
  </si>
  <si>
    <t>Hi-Stepper-4-66.9</t>
  </si>
  <si>
    <t>Hi-Stepper-4-67</t>
  </si>
  <si>
    <t>Hi-Stepper-4-67.1</t>
  </si>
  <si>
    <t>Hi-Stepper-4-67.2</t>
  </si>
  <si>
    <t>Hi-Stepper-4-67.3</t>
  </si>
  <si>
    <t>Hi-Stepper-4-67.4</t>
  </si>
  <si>
    <t>Hi-Stepper-4-67.5</t>
  </si>
  <si>
    <t>Hi-Stepper-4-67.6</t>
  </si>
  <si>
    <t>Hi-Stepper-4-67.7</t>
  </si>
  <si>
    <t>Hi-Stepper-4-67.8</t>
  </si>
  <si>
    <t>Hi-Stepper-4-67.9</t>
  </si>
  <si>
    <t>Hi-Stepper-4-68</t>
  </si>
  <si>
    <t>Hi-Stepper-4-68.1</t>
  </si>
  <si>
    <t>Hi-Stepper-4-68.2</t>
  </si>
  <si>
    <t>Hi-Stepper-4-68.3</t>
  </si>
  <si>
    <t>Hi-Stepper-4-68.4</t>
  </si>
  <si>
    <t>Hi-Stepper-4-68.5</t>
  </si>
  <si>
    <t>Hi-Stepper-4-68.6</t>
  </si>
  <si>
    <t>Hi-Stepper-4-68.7</t>
  </si>
  <si>
    <t>Hi-Stepper-4-68.8</t>
  </si>
  <si>
    <t>Hi-Stepper-4-68.9</t>
  </si>
  <si>
    <t>Hi-Stepper-4-69</t>
  </si>
  <si>
    <t>Hi-Stepper-4-69.1</t>
  </si>
  <si>
    <t>Hi-Stepper-4-69.2</t>
  </si>
  <si>
    <t>Hi-Stepper-4-69.3</t>
  </si>
  <si>
    <t>Hi-Stepper-4-69.4</t>
  </si>
  <si>
    <t>Hi-Stepper-4-69.5</t>
  </si>
  <si>
    <t>Hi-Stepper-4-69.6</t>
  </si>
  <si>
    <t>Hi-Stepper-4-69.7</t>
  </si>
  <si>
    <t>Hi-Stepper-4-69.8</t>
  </si>
  <si>
    <t>Hi-Stepper-4-69.9</t>
  </si>
  <si>
    <t>Hi-Stepper-4-70</t>
  </si>
  <si>
    <t>Chest Push-1-14</t>
  </si>
  <si>
    <t>Chest Push-1-13.75</t>
  </si>
  <si>
    <t>Chest Push-1-13.5</t>
  </si>
  <si>
    <t>Chest Push-1-13.25</t>
  </si>
  <si>
    <t>Chest Push-1-13</t>
  </si>
  <si>
    <t>Chest Push-1-12.75</t>
  </si>
  <si>
    <t>Chest Push-1-12.5</t>
  </si>
  <si>
    <t>Chest Push-1-12.25</t>
  </si>
  <si>
    <t>Chest Push-1-12</t>
  </si>
  <si>
    <t>Chest Push-1-11.75</t>
  </si>
  <si>
    <t>Chest Push-1-11.5</t>
  </si>
  <si>
    <t>Chest Push-1-11.25</t>
  </si>
  <si>
    <t>Chest Push-1-11</t>
  </si>
  <si>
    <t>Chest Push-1-10.75</t>
  </si>
  <si>
    <t>Chest Push-1-10.5</t>
  </si>
  <si>
    <t>Chest Push-1-10.25</t>
  </si>
  <si>
    <t>Chest Push-1-10</t>
  </si>
  <si>
    <t>Chest Push-1-9.75</t>
  </si>
  <si>
    <t>Chest Push-1-9.5</t>
  </si>
  <si>
    <t>Chest Push-1-9.25</t>
  </si>
  <si>
    <t>Chest Push-1-9</t>
  </si>
  <si>
    <t>Chest Push-1-8.75</t>
  </si>
  <si>
    <t>Chest Push-1-8.5</t>
  </si>
  <si>
    <t>Chest Push-1-8.25</t>
  </si>
  <si>
    <t>Chest Push-1-8</t>
  </si>
  <si>
    <t>Chest Push-1-7.75</t>
  </si>
  <si>
    <t>Chest Push-1-7.5</t>
  </si>
  <si>
    <t>Chest Push-1-7.25</t>
  </si>
  <si>
    <t>Chest Push-1-7</t>
  </si>
  <si>
    <t>Chest Push-1-6.75</t>
  </si>
  <si>
    <t>Chest Push-1-6.5</t>
  </si>
  <si>
    <t>Chest Push-1-6.25</t>
  </si>
  <si>
    <t>Chest Push-1-6</t>
  </si>
  <si>
    <t>Chest Push-1-5.75</t>
  </si>
  <si>
    <t>Chest Push-1-5.5</t>
  </si>
  <si>
    <t>Chest Push-1-5.25</t>
  </si>
  <si>
    <t>Chest Push-1-5</t>
  </si>
  <si>
    <t>Chest Push-1-4.75</t>
  </si>
  <si>
    <t>Chest Push-1-4.5</t>
  </si>
  <si>
    <t>Chest Push-1-4.25</t>
  </si>
  <si>
    <t>Chest Push-1-4</t>
  </si>
  <si>
    <t>Chest Push-1-3.75</t>
  </si>
  <si>
    <t>Chest Push-1-3.5</t>
  </si>
  <si>
    <t>Chest Push-1-3.25</t>
  </si>
  <si>
    <t>Chest Push-1-3</t>
  </si>
  <si>
    <t>Chest Push-1-2.75</t>
  </si>
  <si>
    <t>Chest Push-1-2.5</t>
  </si>
  <si>
    <t>Chest Push-1-2.25</t>
  </si>
  <si>
    <t>Chest Push-1-2</t>
  </si>
  <si>
    <t>Chest Push-1-1.75</t>
  </si>
  <si>
    <t>Chest Push-1-1.5</t>
  </si>
  <si>
    <t>Chest Push-1-1.25</t>
  </si>
  <si>
    <t>Chest Push-1-1</t>
  </si>
  <si>
    <t>Chest Push-1-0.75</t>
  </si>
  <si>
    <t>Chest Push-1-0.5</t>
  </si>
  <si>
    <t>Chest Push-1-0.25</t>
  </si>
  <si>
    <t>Chest Push-2-14</t>
  </si>
  <si>
    <t>Chest Push-2-13.75</t>
  </si>
  <si>
    <t>Chest Push-2-13.5</t>
  </si>
  <si>
    <t>Chest Push-2-13.25</t>
  </si>
  <si>
    <t>Chest Push-2-13</t>
  </si>
  <si>
    <t>Chest Push-2-12.75</t>
  </si>
  <si>
    <t>Chest Push-2-12.5</t>
  </si>
  <si>
    <t>Chest Push-2-12.25</t>
  </si>
  <si>
    <t>Chest Push-2-12</t>
  </si>
  <si>
    <t>Chest Push-2-11.75</t>
  </si>
  <si>
    <t>Chest Push-2-11.5</t>
  </si>
  <si>
    <t>Chest Push-2-11.25</t>
  </si>
  <si>
    <t>Chest Push-2-11</t>
  </si>
  <si>
    <t>Chest Push-2-10.75</t>
  </si>
  <si>
    <t>Chest Push-2-10.5</t>
  </si>
  <si>
    <t>Chest Push-2-10.25</t>
  </si>
  <si>
    <t>Chest Push-2-10</t>
  </si>
  <si>
    <t>Chest Push-2-9.75</t>
  </si>
  <si>
    <t>Chest Push-2-9.5</t>
  </si>
  <si>
    <t>Chest Push-2-9.25</t>
  </si>
  <si>
    <t>Chest Push-2-9</t>
  </si>
  <si>
    <t>Chest Push-2-8.75</t>
  </si>
  <si>
    <t>Chest Push-2-8.5</t>
  </si>
  <si>
    <t>Chest Push-2-8.25</t>
  </si>
  <si>
    <t>Chest Push-2-8</t>
  </si>
  <si>
    <t>Chest Push-2-7.75</t>
  </si>
  <si>
    <t>Chest Push-2-7.5</t>
  </si>
  <si>
    <t>Chest Push-2-7.25</t>
  </si>
  <si>
    <t>Chest Push-2-7</t>
  </si>
  <si>
    <t>Chest Push-2-6.75</t>
  </si>
  <si>
    <t>Chest Push-2-6.5</t>
  </si>
  <si>
    <t>Chest Push-2-6.25</t>
  </si>
  <si>
    <t>Chest Push-2-6</t>
  </si>
  <si>
    <t>Chest Push-2-5.75</t>
  </si>
  <si>
    <t>Chest Push-2-5.5</t>
  </si>
  <si>
    <t>Chest Push-2-5.25</t>
  </si>
  <si>
    <t>Chest Push-2-5</t>
  </si>
  <si>
    <t>Chest Push-2-4.75</t>
  </si>
  <si>
    <t>Chest Push-2-4.5</t>
  </si>
  <si>
    <t>Chest Push-2-4.25</t>
  </si>
  <si>
    <t>Chest Push-2-4</t>
  </si>
  <si>
    <t>Chest Push-2-3.75</t>
  </si>
  <si>
    <t>Chest Push-2-3.5</t>
  </si>
  <si>
    <t>Chest Push-2-3.25</t>
  </si>
  <si>
    <t>Chest Push-2-3</t>
  </si>
  <si>
    <t>Chest Push-2-2.75</t>
  </si>
  <si>
    <t>Chest Push-2-2.5</t>
  </si>
  <si>
    <t>Chest Push-2-2.25</t>
  </si>
  <si>
    <t>Chest Push-2-2</t>
  </si>
  <si>
    <t>Chest Push-2-1.75</t>
  </si>
  <si>
    <t>Chest Push-2-1.5</t>
  </si>
  <si>
    <t>Chest Push-2-1.25</t>
  </si>
  <si>
    <t>Chest Push-2-1</t>
  </si>
  <si>
    <t>Chest Push-2-0.75</t>
  </si>
  <si>
    <t>Chest Push-2-0.5</t>
  </si>
  <si>
    <t>Chest Push-2-0.25</t>
  </si>
  <si>
    <t>Chest Push-3-14</t>
  </si>
  <si>
    <t>Chest Push-3-13.75</t>
  </si>
  <si>
    <t>Chest Push-3-13.5</t>
  </si>
  <si>
    <t>Chest Push-3-13.25</t>
  </si>
  <si>
    <t>Chest Push-3-13</t>
  </si>
  <si>
    <t>Chest Push-3-12.75</t>
  </si>
  <si>
    <t>Chest Push-3-12.5</t>
  </si>
  <si>
    <t>Chest Push-3-12.25</t>
  </si>
  <si>
    <t>Chest Push-3-12</t>
  </si>
  <si>
    <t>Chest Push-3-11.75</t>
  </si>
  <si>
    <t>Chest Push-3-11.5</t>
  </si>
  <si>
    <t>Chest Push-3-11.25</t>
  </si>
  <si>
    <t>Chest Push-3-11</t>
  </si>
  <si>
    <t>Chest Push-3-10.75</t>
  </si>
  <si>
    <t>Chest Push-3-10.5</t>
  </si>
  <si>
    <t>Chest Push-3-10.25</t>
  </si>
  <si>
    <t>Chest Push-3-10</t>
  </si>
  <si>
    <t>Chest Push-3-9.75</t>
  </si>
  <si>
    <t>Chest Push-3-9.5</t>
  </si>
  <si>
    <t>Chest Push-3-9.25</t>
  </si>
  <si>
    <t>Chest Push-3-9</t>
  </si>
  <si>
    <t>Chest Push-3-8.75</t>
  </si>
  <si>
    <t>Chest Push-3-8.5</t>
  </si>
  <si>
    <t>Chest Push-3-8.25</t>
  </si>
  <si>
    <t>Chest Push-3-8</t>
  </si>
  <si>
    <t>Chest Push-3-7.75</t>
  </si>
  <si>
    <t>Chest Push-3-7.5</t>
  </si>
  <si>
    <t>Chest Push-3-7.25</t>
  </si>
  <si>
    <t>Chest Push-3-7</t>
  </si>
  <si>
    <t>Chest Push-3-6.75</t>
  </si>
  <si>
    <t>Chest Push-3-6.5</t>
  </si>
  <si>
    <t>Chest Push-3-6.25</t>
  </si>
  <si>
    <t>Chest Push-3-6</t>
  </si>
  <si>
    <t>Chest Push-3-5.75</t>
  </si>
  <si>
    <t>Chest Push-3-5.5</t>
  </si>
  <si>
    <t>Chest Push-3-5.25</t>
  </si>
  <si>
    <t>Chest Push-3-5</t>
  </si>
  <si>
    <t>Chest Push-3-4.75</t>
  </si>
  <si>
    <t>Chest Push-3-4.5</t>
  </si>
  <si>
    <t>Chest Push-3-4.25</t>
  </si>
  <si>
    <t>Chest Push-3-4</t>
  </si>
  <si>
    <t>Chest Push-3-3.75</t>
  </si>
  <si>
    <t>Chest Push-3-3.5</t>
  </si>
  <si>
    <t>Chest Push-3-3.25</t>
  </si>
  <si>
    <t>Chest Push-3-3</t>
  </si>
  <si>
    <t>Chest Push-3-2.75</t>
  </si>
  <si>
    <t>Chest Push-3-2.5</t>
  </si>
  <si>
    <t>Chest Push-3-2.25</t>
  </si>
  <si>
    <t>Chest Push-3-2</t>
  </si>
  <si>
    <t>Chest Push-3-1.75</t>
  </si>
  <si>
    <t>Chest Push-3-1.5</t>
  </si>
  <si>
    <t>Chest Push-3-1.25</t>
  </si>
  <si>
    <t>Chest Push-3-1</t>
  </si>
  <si>
    <t>Chest Push-3-0.75</t>
  </si>
  <si>
    <t>Chest Push-3-0.5</t>
  </si>
  <si>
    <t>Chest Push-3-0.25</t>
  </si>
  <si>
    <t>Chest Push-4-14</t>
  </si>
  <si>
    <t>Chest Push-4-13.75</t>
  </si>
  <si>
    <t>Chest Push-4-13.5</t>
  </si>
  <si>
    <t>Chest Push-4-13.25</t>
  </si>
  <si>
    <t>Chest Push-4-13</t>
  </si>
  <si>
    <t>Chest Push-4-12.75</t>
  </si>
  <si>
    <t>Chest Push-4-12.5</t>
  </si>
  <si>
    <t>Chest Push-4-12.25</t>
  </si>
  <si>
    <t>Chest Push-4-12</t>
  </si>
  <si>
    <t>Chest Push-4-11.75</t>
  </si>
  <si>
    <t>Chest Push-4-11.5</t>
  </si>
  <si>
    <t>Chest Push-4-11.25</t>
  </si>
  <si>
    <t>Chest Push-4-11</t>
  </si>
  <si>
    <t>Chest Push-4-10.75</t>
  </si>
  <si>
    <t>Chest Push-4-10.5</t>
  </si>
  <si>
    <t>Chest Push-4-10.25</t>
  </si>
  <si>
    <t>Chest Push-4-10</t>
  </si>
  <si>
    <t>Chest Push-4-9.75</t>
  </si>
  <si>
    <t>Chest Push-4-9.5</t>
  </si>
  <si>
    <t>Chest Push-4-9.25</t>
  </si>
  <si>
    <t>Chest Push-4-9</t>
  </si>
  <si>
    <t>Chest Push-4-8.75</t>
  </si>
  <si>
    <t>Chest Push-4-8.5</t>
  </si>
  <si>
    <t>Chest Push-4-8.25</t>
  </si>
  <si>
    <t>Chest Push-4-8</t>
  </si>
  <si>
    <t>Chest Push-4-7.75</t>
  </si>
  <si>
    <t>Chest Push-4-7.5</t>
  </si>
  <si>
    <t>Chest Push-4-7.25</t>
  </si>
  <si>
    <t>Chest Push-4-7</t>
  </si>
  <si>
    <t>Chest Push-4-6.75</t>
  </si>
  <si>
    <t>Chest Push-4-6.5</t>
  </si>
  <si>
    <t>Chest Push-4-6.25</t>
  </si>
  <si>
    <t>Chest Push-4-6</t>
  </si>
  <si>
    <t>Chest Push-4-5.75</t>
  </si>
  <si>
    <t>Chest Push-4-5.5</t>
  </si>
  <si>
    <t>Chest Push-4-5.25</t>
  </si>
  <si>
    <t>Chest Push-4-5</t>
  </si>
  <si>
    <t>Chest Push-4-4.75</t>
  </si>
  <si>
    <t>Chest Push-4-4.5</t>
  </si>
  <si>
    <t>Chest Push-4-4.25</t>
  </si>
  <si>
    <t>Chest Push-4-4</t>
  </si>
  <si>
    <t>Chest Push-4-3.75</t>
  </si>
  <si>
    <t>Chest Push-4-3.5</t>
  </si>
  <si>
    <t>Chest Push-4-3.25</t>
  </si>
  <si>
    <t>Chest Push-4-3</t>
  </si>
  <si>
    <t>Chest Push-4-2.75</t>
  </si>
  <si>
    <t>Chest Push-4-2.5</t>
  </si>
  <si>
    <t>Chest Push-4-2.25</t>
  </si>
  <si>
    <t>Chest Push-4-2</t>
  </si>
  <si>
    <t>Chest Push-4-1.75</t>
  </si>
  <si>
    <t>Chest Push-4-1.5</t>
  </si>
  <si>
    <t>Chest Push-4-1.25</t>
  </si>
  <si>
    <t>Chest Push-4-1</t>
  </si>
  <si>
    <t>Chest Push-4-0.75</t>
  </si>
  <si>
    <t>Chest Push-4-0.5</t>
  </si>
  <si>
    <t>Chest Push-4-0.25</t>
  </si>
  <si>
    <t>Javelin Throw-1-38</t>
  </si>
  <si>
    <t>Javelin Throw-1-37</t>
  </si>
  <si>
    <t>Javelin Throw-1-36</t>
  </si>
  <si>
    <t>Javelin Throw-1-35</t>
  </si>
  <si>
    <t>Javelin Throw-1-34</t>
  </si>
  <si>
    <t>Javelin Throw-1-33</t>
  </si>
  <si>
    <t>Javelin Throw-1-32</t>
  </si>
  <si>
    <t>Javelin Throw-1-31</t>
  </si>
  <si>
    <t>Javelin Throw-1-30</t>
  </si>
  <si>
    <t>Javelin Throw-1-29</t>
  </si>
  <si>
    <t>Javelin Throw-1-28</t>
  </si>
  <si>
    <t>Javelin Throw-1-27</t>
  </si>
  <si>
    <t>Javelin Throw-1-26</t>
  </si>
  <si>
    <t>Javelin Throw-1-25</t>
  </si>
  <si>
    <t>Javelin Throw-1-24</t>
  </si>
  <si>
    <t>Javelin Throw-1-23</t>
  </si>
  <si>
    <t>Javelin Throw-1-22</t>
  </si>
  <si>
    <t>Javelin Throw-1-21</t>
  </si>
  <si>
    <t>Javelin Throw-1-20</t>
  </si>
  <si>
    <t>Javelin Throw-1-19</t>
  </si>
  <si>
    <t>Javelin Throw-1-18</t>
  </si>
  <si>
    <t>Javelin Throw-1-17</t>
  </si>
  <si>
    <t>Javelin Throw-1-16</t>
  </si>
  <si>
    <t>Javelin Throw-1-15</t>
  </si>
  <si>
    <t>Javelin Throw-1-14</t>
  </si>
  <si>
    <t>Javelin Throw-1-13</t>
  </si>
  <si>
    <t>Javelin Throw-1-12</t>
  </si>
  <si>
    <t>Javelin Throw-1-11</t>
  </si>
  <si>
    <t>Javelin Throw-1-10</t>
  </si>
  <si>
    <t>Javelin Throw-1-9</t>
  </si>
  <si>
    <t>Javelin Throw-1-8</t>
  </si>
  <si>
    <t>Javelin Throw-1-7</t>
  </si>
  <si>
    <t>Javelin Throw-1-6</t>
  </si>
  <si>
    <t>Javelin Throw-1-5</t>
  </si>
  <si>
    <t>Javelin Throw-1-4</t>
  </si>
  <si>
    <t>Javelin Throw-1-3</t>
  </si>
  <si>
    <t>Javelin Throw-1-2</t>
  </si>
  <si>
    <t>Javelin Throw-1-1</t>
  </si>
  <si>
    <t>Javelin Throw-2-38</t>
  </si>
  <si>
    <t>Javelin Throw-2-37</t>
  </si>
  <si>
    <t>Javelin Throw-2-36</t>
  </si>
  <si>
    <t>Javelin Throw-2-35</t>
  </si>
  <si>
    <t>Javelin Throw-2-34</t>
  </si>
  <si>
    <t>Javelin Throw-2-33</t>
  </si>
  <si>
    <t>Javelin Throw-2-32</t>
  </si>
  <si>
    <t>Javelin Throw-2-31</t>
  </si>
  <si>
    <t>Javelin Throw-2-30</t>
  </si>
  <si>
    <t>Javelin Throw-2-29</t>
  </si>
  <si>
    <t>Javelin Throw-2-28</t>
  </si>
  <si>
    <t>Javelin Throw-2-27</t>
  </si>
  <si>
    <t>Javelin Throw-2-26</t>
  </si>
  <si>
    <t>Javelin Throw-2-25</t>
  </si>
  <si>
    <t>Javelin Throw-2-24</t>
  </si>
  <si>
    <t>Javelin Throw-2-23</t>
  </si>
  <si>
    <t>Javelin Throw-2-22</t>
  </si>
  <si>
    <t>Javelin Throw-2-21</t>
  </si>
  <si>
    <t>Javelin Throw-2-20</t>
  </si>
  <si>
    <t>Javelin Throw-2-19</t>
  </si>
  <si>
    <t>Javelin Throw-2-18</t>
  </si>
  <si>
    <t>Javelin Throw-2-17</t>
  </si>
  <si>
    <t>Javelin Throw-2-16</t>
  </si>
  <si>
    <t>Javelin Throw-2-15</t>
  </si>
  <si>
    <t>Javelin Throw-2-14</t>
  </si>
  <si>
    <t>Javelin Throw-2-13</t>
  </si>
  <si>
    <t>Javelin Throw-2-12</t>
  </si>
  <si>
    <t>Javelin Throw-2-11</t>
  </si>
  <si>
    <t>Javelin Throw-2-10</t>
  </si>
  <si>
    <t>Javelin Throw-2-9</t>
  </si>
  <si>
    <t>Javelin Throw-2-8</t>
  </si>
  <si>
    <t>Javelin Throw-2-7</t>
  </si>
  <si>
    <t>Javelin Throw-2-6</t>
  </si>
  <si>
    <t>Javelin Throw-2-5</t>
  </si>
  <si>
    <t>Javelin Throw-2-4</t>
  </si>
  <si>
    <t>Javelin Throw-2-3</t>
  </si>
  <si>
    <t>Javelin Throw-2-2</t>
  </si>
  <si>
    <t>Javelin Throw-2-1</t>
  </si>
  <si>
    <t>Javelin Throw-3-38</t>
  </si>
  <si>
    <t>Javelin Throw-3-37</t>
  </si>
  <si>
    <t>Javelin Throw-3-36</t>
  </si>
  <si>
    <t>Javelin Throw-3-35</t>
  </si>
  <si>
    <t>Javelin Throw-3-34</t>
  </si>
  <si>
    <t>Javelin Throw-3-33</t>
  </si>
  <si>
    <t>Javelin Throw-3-32</t>
  </si>
  <si>
    <t>Javelin Throw-3-31</t>
  </si>
  <si>
    <t>Javelin Throw-3-30</t>
  </si>
  <si>
    <t>Javelin Throw-3-29</t>
  </si>
  <si>
    <t>Javelin Throw-3-28</t>
  </si>
  <si>
    <t>Javelin Throw-3-27</t>
  </si>
  <si>
    <t>Javelin Throw-3-26</t>
  </si>
  <si>
    <t>Javelin Throw-3-25</t>
  </si>
  <si>
    <t>Javelin Throw-3-24</t>
  </si>
  <si>
    <t>Javelin Throw-3-23</t>
  </si>
  <si>
    <t>Javelin Throw-3-22</t>
  </si>
  <si>
    <t>Javelin Throw-3-21</t>
  </si>
  <si>
    <t>Javelin Throw-3-20</t>
  </si>
  <si>
    <t>Javelin Throw-3-19</t>
  </si>
  <si>
    <t>Javelin Throw-3-18</t>
  </si>
  <si>
    <t>Javelin Throw-3-17</t>
  </si>
  <si>
    <t>Javelin Throw-3-16</t>
  </si>
  <si>
    <t>Javelin Throw-3-15</t>
  </si>
  <si>
    <t>Javelin Throw-3-14</t>
  </si>
  <si>
    <t>Javelin Throw-3-13</t>
  </si>
  <si>
    <t>Javelin Throw-3-12</t>
  </si>
  <si>
    <t>Javelin Throw-3-11</t>
  </si>
  <si>
    <t>Javelin Throw-3-10</t>
  </si>
  <si>
    <t>Javelin Throw-3-9</t>
  </si>
  <si>
    <t>Javelin Throw-3-8</t>
  </si>
  <si>
    <t>Javelin Throw-3-7</t>
  </si>
  <si>
    <t>Javelin Throw-3-6</t>
  </si>
  <si>
    <t>Javelin Throw-3-5</t>
  </si>
  <si>
    <t>Javelin Throw-3-4</t>
  </si>
  <si>
    <t>Javelin Throw-3-3</t>
  </si>
  <si>
    <t>Javelin Throw-3-2</t>
  </si>
  <si>
    <t>Javelin Throw-3-1</t>
  </si>
  <si>
    <t>Javelin Throw-4-38</t>
  </si>
  <si>
    <t>Javelin Throw-4-37</t>
  </si>
  <si>
    <t>Javelin Throw-4-36</t>
  </si>
  <si>
    <t>Javelin Throw-4-35</t>
  </si>
  <si>
    <t>Javelin Throw-4-34</t>
  </si>
  <si>
    <t>Javelin Throw-4-33</t>
  </si>
  <si>
    <t>Javelin Throw-4-32</t>
  </si>
  <si>
    <t>Javelin Throw-4-31</t>
  </si>
  <si>
    <t>Javelin Throw-4-30</t>
  </si>
  <si>
    <t>Javelin Throw-4-29</t>
  </si>
  <si>
    <t>Javelin Throw-4-28</t>
  </si>
  <si>
    <t>Javelin Throw-4-27</t>
  </si>
  <si>
    <t>Javelin Throw-4-26</t>
  </si>
  <si>
    <t>Javelin Throw-4-25</t>
  </si>
  <si>
    <t>Javelin Throw-4-24</t>
  </si>
  <si>
    <t>Javelin Throw-4-23</t>
  </si>
  <si>
    <t>Javelin Throw-4-22</t>
  </si>
  <si>
    <t>Javelin Throw-4-21</t>
  </si>
  <si>
    <t>Javelin Throw-4-20</t>
  </si>
  <si>
    <t>Javelin Throw-4-19</t>
  </si>
  <si>
    <t>Javelin Throw-4-18</t>
  </si>
  <si>
    <t>Javelin Throw-4-17</t>
  </si>
  <si>
    <t>Javelin Throw-4-16</t>
  </si>
  <si>
    <t>Javelin Throw-4-15</t>
  </si>
  <si>
    <t>Javelin Throw-4-14</t>
  </si>
  <si>
    <t>Javelin Throw-4-13</t>
  </si>
  <si>
    <t>Javelin Throw-4-12</t>
  </si>
  <si>
    <t>Javelin Throw-4-11</t>
  </si>
  <si>
    <t>Javelin Throw-4-10</t>
  </si>
  <si>
    <t>Javelin Throw-4-9</t>
  </si>
  <si>
    <t>Javelin Throw-4-8</t>
  </si>
  <si>
    <t>Javelin Throw-4-7</t>
  </si>
  <si>
    <t>Javelin Throw-4-6</t>
  </si>
  <si>
    <t>Javelin Throw-4-5</t>
  </si>
  <si>
    <t>Javelin Throw-4-4</t>
  </si>
  <si>
    <t>Javelin Throw-4-3</t>
  </si>
  <si>
    <t>Javelin Throw-4-2</t>
  </si>
  <si>
    <t>Javelin Throw-4-1</t>
  </si>
  <si>
    <t>P-Boy-0</t>
  </si>
  <si>
    <t>P-Boy-1</t>
  </si>
  <si>
    <t>P-Boy-2</t>
  </si>
  <si>
    <t>P-Boy-3</t>
  </si>
  <si>
    <t>P-Boy-4</t>
  </si>
  <si>
    <t>P-Boy-5</t>
  </si>
  <si>
    <t>P-Boy-6</t>
  </si>
  <si>
    <t>P-Boy-7</t>
  </si>
  <si>
    <t>P-Boy-8</t>
  </si>
  <si>
    <t>P-Boy-9</t>
  </si>
  <si>
    <t>P-Boy-10</t>
  </si>
  <si>
    <t>P-Boy-11</t>
  </si>
  <si>
    <t>P-Boy-12</t>
  </si>
  <si>
    <t>P-Boy-13</t>
  </si>
  <si>
    <t>P-Boy-14</t>
  </si>
  <si>
    <t>P-Boy-15</t>
  </si>
  <si>
    <t>P-Boy-16</t>
  </si>
  <si>
    <t>P-Boy-17</t>
  </si>
  <si>
    <t>P-Boy-18</t>
  </si>
  <si>
    <t>P-Boy-19</t>
  </si>
  <si>
    <t>P-Boy-20</t>
  </si>
  <si>
    <t>P-Boy-21</t>
  </si>
  <si>
    <t>P-Boy-22</t>
  </si>
  <si>
    <t>P-Boy-23</t>
  </si>
  <si>
    <t>P-Boy-24</t>
  </si>
  <si>
    <t>P-Boy-25</t>
  </si>
  <si>
    <t>P-Boy-26</t>
  </si>
  <si>
    <t>P-Boy-27</t>
  </si>
  <si>
    <t>P-Boy-28</t>
  </si>
  <si>
    <t>P-Boy-29</t>
  </si>
  <si>
    <t>P-Boy-30</t>
  </si>
  <si>
    <t>P-Boy-31</t>
  </si>
  <si>
    <t>P-Boy-32</t>
  </si>
  <si>
    <t>P-Boy-33</t>
  </si>
  <si>
    <t>P-Boy-34</t>
  </si>
  <si>
    <t>P-Boy-35</t>
  </si>
  <si>
    <t>P-Boy-36</t>
  </si>
  <si>
    <t>P-Boy-37</t>
  </si>
  <si>
    <t>P-Boy-38</t>
  </si>
  <si>
    <t>P-Boy-39</t>
  </si>
  <si>
    <t>P-Boy-40</t>
  </si>
  <si>
    <t>P-Boy-41</t>
  </si>
  <si>
    <t>P-Boy-42</t>
  </si>
  <si>
    <t>P-Boy-43</t>
  </si>
  <si>
    <t>P-Boy-44</t>
  </si>
  <si>
    <t>P-Boy-45</t>
  </si>
  <si>
    <t>P-Boy-46</t>
  </si>
  <si>
    <t>P-Boy-47</t>
  </si>
  <si>
    <t>P-Boy-48</t>
  </si>
  <si>
    <t>P-Boy-49</t>
  </si>
  <si>
    <t>P-Boy-50</t>
  </si>
  <si>
    <t>P-Boy-51</t>
  </si>
  <si>
    <t>P-Boy-52</t>
  </si>
  <si>
    <t>P-Boy-53</t>
  </si>
  <si>
    <t>P-Boy-54</t>
  </si>
  <si>
    <t>P-Boy-55</t>
  </si>
  <si>
    <t>P-Boy-56</t>
  </si>
  <si>
    <t>P-Boy-57</t>
  </si>
  <si>
    <t>P-Boy-58</t>
  </si>
  <si>
    <t>P-Boy-59</t>
  </si>
  <si>
    <t>P-Boy-60</t>
  </si>
  <si>
    <t>P-Boy-61</t>
  </si>
  <si>
    <t>P-Boy-62</t>
  </si>
  <si>
    <t>P-Boy-63</t>
  </si>
  <si>
    <t>P-Boy-64</t>
  </si>
  <si>
    <t>P-Boy-65</t>
  </si>
  <si>
    <t>P-Boy-66</t>
  </si>
  <si>
    <t>P-Boy-67</t>
  </si>
  <si>
    <t>P-Boy-68</t>
  </si>
  <si>
    <t>P-Boy-69</t>
  </si>
  <si>
    <t>P-Boy-70</t>
  </si>
  <si>
    <t>P-Boy-71</t>
  </si>
  <si>
    <t>P-Boy-72</t>
  </si>
  <si>
    <t>P-Boy-73</t>
  </si>
  <si>
    <t>P-Boy-74</t>
  </si>
  <si>
    <t>P-Boy-75</t>
  </si>
  <si>
    <t>P-Boy-76</t>
  </si>
  <si>
    <t>P-Boy-77</t>
  </si>
  <si>
    <t>P-Boy-78</t>
  </si>
  <si>
    <t>P-Boy-79</t>
  </si>
  <si>
    <t>P-Boy-80</t>
  </si>
  <si>
    <t>P-Boy-81</t>
  </si>
  <si>
    <t>P-Boy-82</t>
  </si>
  <si>
    <t>P-Boy-83</t>
  </si>
  <si>
    <t>P-Boy-84</t>
  </si>
  <si>
    <t>P-Boy-85</t>
  </si>
  <si>
    <t>P-Boy-86</t>
  </si>
  <si>
    <t>P-Boy-87</t>
  </si>
  <si>
    <t>P-Boy-88</t>
  </si>
  <si>
    <t>P-Boy-89</t>
  </si>
  <si>
    <t>P-Boy-90</t>
  </si>
  <si>
    <t>P-Boy-91</t>
  </si>
  <si>
    <t>P-Boy-92</t>
  </si>
  <si>
    <t>P-Boy-93</t>
  </si>
  <si>
    <t>P-Boy-94</t>
  </si>
  <si>
    <t>P-Boy-95</t>
  </si>
  <si>
    <t>P-Boy-96</t>
  </si>
  <si>
    <t>P-Boy-97</t>
  </si>
  <si>
    <t>P-Boy-98</t>
  </si>
  <si>
    <t>P-Boy-99</t>
  </si>
  <si>
    <t>P-Boy-100</t>
  </si>
  <si>
    <t>P-Boy-101</t>
  </si>
  <si>
    <t>P-Boy-102</t>
  </si>
  <si>
    <t>P-Boy-103</t>
  </si>
  <si>
    <t>P-Boy-104</t>
  </si>
  <si>
    <t>P-Boy-105</t>
  </si>
  <si>
    <t>P-Boy-106</t>
  </si>
  <si>
    <t>P-Boy-107</t>
  </si>
  <si>
    <t>P-Boy-108</t>
  </si>
  <si>
    <t>P-Boy-109</t>
  </si>
  <si>
    <t>P-Boy-110</t>
  </si>
  <si>
    <t>P-Boy-111</t>
  </si>
  <si>
    <t>P-Boy-112</t>
  </si>
  <si>
    <t>P-Boy-113</t>
  </si>
  <si>
    <t>P-Boy-114</t>
  </si>
  <si>
    <t>P-Boy-115</t>
  </si>
  <si>
    <t>P-Boy-116</t>
  </si>
  <si>
    <t>P-Boy-117</t>
  </si>
  <si>
    <t>P-Boy-118</t>
  </si>
  <si>
    <t>P-Boy-119</t>
  </si>
  <si>
    <t>P-Boy-120</t>
  </si>
  <si>
    <t>P-Boy-121</t>
  </si>
  <si>
    <t>P-Boy-122</t>
  </si>
  <si>
    <t>P-Boy-123</t>
  </si>
  <si>
    <t>P-Boy-124</t>
  </si>
  <si>
    <t>P-Boy-125</t>
  </si>
  <si>
    <t>P-Boy-126</t>
  </si>
  <si>
    <t>P-Boy-127</t>
  </si>
  <si>
    <t>P-Boy-128</t>
  </si>
  <si>
    <t>P-Boy-129</t>
  </si>
  <si>
    <t>P-Boy-130</t>
  </si>
  <si>
    <t>P-Boy-131</t>
  </si>
  <si>
    <t>P-Boy-132</t>
  </si>
  <si>
    <t>P-Boy-133</t>
  </si>
  <si>
    <t>P-Boy-134</t>
  </si>
  <si>
    <t>P-Boy-135</t>
  </si>
  <si>
    <t>P-Boy-136</t>
  </si>
  <si>
    <t>P-Boy-137</t>
  </si>
  <si>
    <t>P-Boy-138</t>
  </si>
  <si>
    <t>P-Boy-139</t>
  </si>
  <si>
    <t>P-Boy-140</t>
  </si>
  <si>
    <t>P-Boy-141</t>
  </si>
  <si>
    <t>P-Boy-142</t>
  </si>
  <si>
    <t>P-Boy-143</t>
  </si>
  <si>
    <t>P-Boy-144</t>
  </si>
  <si>
    <t>P-Boy-145</t>
  </si>
  <si>
    <t>P-Boy-146</t>
  </si>
  <si>
    <t>P-Boy-147</t>
  </si>
  <si>
    <t>P-Boy-148</t>
  </si>
  <si>
    <t>P-Boy-149</t>
  </si>
  <si>
    <t>P-Boy-150</t>
  </si>
  <si>
    <t>P-Boy-151</t>
  </si>
  <si>
    <t>P-Boy-152</t>
  </si>
  <si>
    <t>P-Boy-153</t>
  </si>
  <si>
    <t>P-Boy-154</t>
  </si>
  <si>
    <t>P-Boy-155</t>
  </si>
  <si>
    <t>P-Boy-156</t>
  </si>
  <si>
    <t>P-Boy-157</t>
  </si>
  <si>
    <t>P-Boy-158</t>
  </si>
  <si>
    <t>P-Boy-159</t>
  </si>
  <si>
    <t>P-Boy-160</t>
  </si>
  <si>
    <t>P-Boy-161</t>
  </si>
  <si>
    <t>P-Boy-162</t>
  </si>
  <si>
    <t>P-Boy-163</t>
  </si>
  <si>
    <t>P-Boy-164</t>
  </si>
  <si>
    <t>P-Boy-165</t>
  </si>
  <si>
    <t>P-Boy-166</t>
  </si>
  <si>
    <t>P-Boy-167</t>
  </si>
  <si>
    <t>P-Boy-168</t>
  </si>
  <si>
    <t>P-Boy-169</t>
  </si>
  <si>
    <t>P-Boy-170</t>
  </si>
  <si>
    <t>P-Boy-171</t>
  </si>
  <si>
    <t>P-Boy-172</t>
  </si>
  <si>
    <t>P-Boy-173</t>
  </si>
  <si>
    <t>P-Boy-174</t>
  </si>
  <si>
    <t>P-Boy-175</t>
  </si>
  <si>
    <t>P-Boy-176</t>
  </si>
  <si>
    <t>P-Boy-177</t>
  </si>
  <si>
    <t>P-Boy-178</t>
  </si>
  <si>
    <t>P-Boy-179</t>
  </si>
  <si>
    <t>P-Boy-180</t>
  </si>
  <si>
    <t>P-Boy-181</t>
  </si>
  <si>
    <t>P-Boy-182</t>
  </si>
  <si>
    <t>P-Boy-183</t>
  </si>
  <si>
    <t>P-Boy-184</t>
  </si>
  <si>
    <t>P-Boy-185</t>
  </si>
  <si>
    <t>P-Boy-186</t>
  </si>
  <si>
    <t>P-Boy-187</t>
  </si>
  <si>
    <t>P-Boy-188</t>
  </si>
  <si>
    <t>P-Boy-189</t>
  </si>
  <si>
    <t>P-Boy-190</t>
  </si>
  <si>
    <t>P-Boy-191</t>
  </si>
  <si>
    <t>P-Boy-192</t>
  </si>
  <si>
    <t>P-Boy-193</t>
  </si>
  <si>
    <t>P-Boy-194</t>
  </si>
  <si>
    <t>P-Boy-195</t>
  </si>
  <si>
    <t>P-Boy-196</t>
  </si>
  <si>
    <t>P-Boy-197</t>
  </si>
  <si>
    <t>P-Boy-198</t>
  </si>
  <si>
    <t>P-Boy-199</t>
  </si>
  <si>
    <t>P-Boy-200</t>
  </si>
  <si>
    <t>P-Boy-201</t>
  </si>
  <si>
    <t>P-Boy-202</t>
  </si>
  <si>
    <t>P-Boy-203</t>
  </si>
  <si>
    <t>P-Boy-204</t>
  </si>
  <si>
    <t>P-Boy-205</t>
  </si>
  <si>
    <t>P-Boy-206</t>
  </si>
  <si>
    <t>P-Boy-207</t>
  </si>
  <si>
    <t>P-Boy-208</t>
  </si>
  <si>
    <t>P-Boy-209</t>
  </si>
  <si>
    <t>P-Boy-210</t>
  </si>
  <si>
    <t>P-Boy-211</t>
  </si>
  <si>
    <t>P-Boy-212</t>
  </si>
  <si>
    <t>P-Boy-213</t>
  </si>
  <si>
    <t>P-Boy-214</t>
  </si>
  <si>
    <t>P-Boy-215</t>
  </si>
  <si>
    <t>P-Boy-216</t>
  </si>
  <si>
    <t>P-Boy-217</t>
  </si>
  <si>
    <t>P-Boy-218</t>
  </si>
  <si>
    <t>P-Boy-219</t>
  </si>
  <si>
    <t>P-Boy-220</t>
  </si>
  <si>
    <t>P-Boy-221</t>
  </si>
  <si>
    <t>P-Boy-222</t>
  </si>
  <si>
    <t>P-Boy-223</t>
  </si>
  <si>
    <t>P-Boy-224</t>
  </si>
  <si>
    <t>P-Boy-225</t>
  </si>
  <si>
    <t>P-Boy-226</t>
  </si>
  <si>
    <t>P-Boy-227</t>
  </si>
  <si>
    <t>P-Boy-228</t>
  </si>
  <si>
    <t>P-Boy-229</t>
  </si>
  <si>
    <t>P-Boy-230</t>
  </si>
  <si>
    <t>P-Boy-231</t>
  </si>
  <si>
    <t>P-Boy-232</t>
  </si>
  <si>
    <t>P-Boy-233</t>
  </si>
  <si>
    <t>P-Boy-234</t>
  </si>
  <si>
    <t>P-Boy-235</t>
  </si>
  <si>
    <t>P-Boy-236</t>
  </si>
  <si>
    <t>P-Boy-237</t>
  </si>
  <si>
    <t>P-Boy-238</t>
  </si>
  <si>
    <t>P-Boy-239</t>
  </si>
  <si>
    <t>P-Boy-240</t>
  </si>
  <si>
    <t>P-Boy-241</t>
  </si>
  <si>
    <t>P-Boy-242</t>
  </si>
  <si>
    <t>P-Boy-243</t>
  </si>
  <si>
    <t>P-Boy-244</t>
  </si>
  <si>
    <t>P-Boy-245</t>
  </si>
  <si>
    <t>P-Boy-246</t>
  </si>
  <si>
    <t>P-Boy-247</t>
  </si>
  <si>
    <t>P-Boy-248</t>
  </si>
  <si>
    <t>P-Boy-249</t>
  </si>
  <si>
    <t>P-Boy-250</t>
  </si>
  <si>
    <t>P-Boy-251</t>
  </si>
  <si>
    <t>P-Boy-252</t>
  </si>
  <si>
    <t>P-Boy-253</t>
  </si>
  <si>
    <t>P-Boy-254</t>
  </si>
  <si>
    <t>P-Boy-255</t>
  </si>
  <si>
    <t>P-Boy-256</t>
  </si>
  <si>
    <t>P-Boy-257</t>
  </si>
  <si>
    <t>P-Boy-258</t>
  </si>
  <si>
    <t>P-Boy-259</t>
  </si>
  <si>
    <t>P-Boy-260</t>
  </si>
  <si>
    <t>P-Boy-261</t>
  </si>
  <si>
    <t>P-Boy-262</t>
  </si>
  <si>
    <t>P-Boy-263</t>
  </si>
  <si>
    <t>P-Boy-264</t>
  </si>
  <si>
    <t>P-Boy-265</t>
  </si>
  <si>
    <t>P-Boy-266</t>
  </si>
  <si>
    <t>P-Boy-267</t>
  </si>
  <si>
    <t>P-Boy-268</t>
  </si>
  <si>
    <t>P-Boy-269</t>
  </si>
  <si>
    <t>P-Boy-270</t>
  </si>
  <si>
    <t>P-Boy-271</t>
  </si>
  <si>
    <t>P-Boy-272</t>
  </si>
  <si>
    <t>P-Boy-273</t>
  </si>
  <si>
    <t>P-Boy-274</t>
  </si>
  <si>
    <t>P-Boy-275</t>
  </si>
  <si>
    <t>P-Boy-276</t>
  </si>
  <si>
    <t>P-Boy-277</t>
  </si>
  <si>
    <t>P-Boy-278</t>
  </si>
  <si>
    <t>P-Boy-279</t>
  </si>
  <si>
    <t>P-Boy-280</t>
  </si>
  <si>
    <t>P-Boy-281</t>
  </si>
  <si>
    <t>P-Boy-282</t>
  </si>
  <si>
    <t>P-Boy-283</t>
  </si>
  <si>
    <t>P-Boy-284</t>
  </si>
  <si>
    <t>P-Boy-285</t>
  </si>
  <si>
    <t>P-Boy-286</t>
  </si>
  <si>
    <t>P-Boy-287</t>
  </si>
  <si>
    <t>P-Boy-288</t>
  </si>
  <si>
    <t>P-Boy-289</t>
  </si>
  <si>
    <t>P-Boy-290</t>
  </si>
  <si>
    <t>P-Boy-291</t>
  </si>
  <si>
    <t>P-Boy-292</t>
  </si>
  <si>
    <t>P-Boy-293</t>
  </si>
  <si>
    <t>P-Boy-294</t>
  </si>
  <si>
    <t>P-Boy-295</t>
  </si>
  <si>
    <t>P-Boy-296</t>
  </si>
  <si>
    <t>P-Boy-297</t>
  </si>
  <si>
    <t>P-Boy-298</t>
  </si>
  <si>
    <t>P-Boy-299</t>
  </si>
  <si>
    <t>P-Boy-300</t>
  </si>
  <si>
    <t>P-Boy-301</t>
  </si>
  <si>
    <t>P-Boy-302</t>
  </si>
  <si>
    <t>P-Boy-303</t>
  </si>
  <si>
    <t>P-Boy-304</t>
  </si>
  <si>
    <t>P-Boy-305</t>
  </si>
  <si>
    <t>P-Boy-306</t>
  </si>
  <si>
    <t>P-Boy-307</t>
  </si>
  <si>
    <t>P-Boy-308</t>
  </si>
  <si>
    <t>P-Boy-309</t>
  </si>
  <si>
    <t>P-Boy-310</t>
  </si>
  <si>
    <t>P-Boy-311</t>
  </si>
  <si>
    <t>P-Boy-312</t>
  </si>
  <si>
    <t>P-Boy-313</t>
  </si>
  <si>
    <t>P-Boy-314</t>
  </si>
  <si>
    <t>P-Boy-315</t>
  </si>
  <si>
    <t>P-Boy-316</t>
  </si>
  <si>
    <t>P-Boy-317</t>
  </si>
  <si>
    <t>P-Boy-318</t>
  </si>
  <si>
    <t>P-Boy-319</t>
  </si>
  <si>
    <t>P-Boy-320</t>
  </si>
  <si>
    <t>P-Boy-321</t>
  </si>
  <si>
    <t>P-Boy-322</t>
  </si>
  <si>
    <t>P-Boy-323</t>
  </si>
  <si>
    <t>P-Boy-324</t>
  </si>
  <si>
    <t>P-Boy-325</t>
  </si>
  <si>
    <t>P-Boy-326</t>
  </si>
  <si>
    <t>P-Boy-327</t>
  </si>
  <si>
    <t>P-Boy-328</t>
  </si>
  <si>
    <t>P-Boy-329</t>
  </si>
  <si>
    <t>P-Boy-330</t>
  </si>
  <si>
    <t>P-Boy-331</t>
  </si>
  <si>
    <t>P-Boy-332</t>
  </si>
  <si>
    <t>P-Boy-333</t>
  </si>
  <si>
    <t>P-Boy-334</t>
  </si>
  <si>
    <t>P-Boy-335</t>
  </si>
  <si>
    <t>P-Boy-336</t>
  </si>
  <si>
    <t>P-Boy-337</t>
  </si>
  <si>
    <t>P-Boy-338</t>
  </si>
  <si>
    <t>P-Boy-339</t>
  </si>
  <si>
    <t>P-Boy-340</t>
  </si>
  <si>
    <t>P-Boy-341</t>
  </si>
  <si>
    <t>P-Boy-342</t>
  </si>
  <si>
    <t>P-Boy-343</t>
  </si>
  <si>
    <t>P-Boy-344</t>
  </si>
  <si>
    <t>P-Boy-345</t>
  </si>
  <si>
    <t>P-Boy-346</t>
  </si>
  <si>
    <t>P-Boy-347</t>
  </si>
  <si>
    <t>P-Boy-348</t>
  </si>
  <si>
    <t>P-Boy-349</t>
  </si>
  <si>
    <t>P-Boy-350</t>
  </si>
  <si>
    <t>P-Boy-351</t>
  </si>
  <si>
    <t>P-Boy-352</t>
  </si>
  <si>
    <t>P-Boy-353</t>
  </si>
  <si>
    <t>P-Boy-354</t>
  </si>
  <si>
    <t>P-Boy-355</t>
  </si>
  <si>
    <t>P-Boy-356</t>
  </si>
  <si>
    <t>P-Boy-357</t>
  </si>
  <si>
    <t>P-Boy-358</t>
  </si>
  <si>
    <t>P-Boy-359</t>
  </si>
  <si>
    <t>P-Boy-360</t>
  </si>
  <si>
    <t>P-Boy-361</t>
  </si>
  <si>
    <t>P-Boy-362</t>
  </si>
  <si>
    <t>P-Boy-363</t>
  </si>
  <si>
    <t>P-Boy-364</t>
  </si>
  <si>
    <t>P-Boy-365</t>
  </si>
  <si>
    <t>P-Boy-366</t>
  </si>
  <si>
    <t>P-Boy-367</t>
  </si>
  <si>
    <t>P-Boy-368</t>
  </si>
  <si>
    <t>P-Boy-369</t>
  </si>
  <si>
    <t>P-Boy-370</t>
  </si>
  <si>
    <t>P-Boy-371</t>
  </si>
  <si>
    <t>P-Boy-372</t>
  </si>
  <si>
    <t>P-Boy-373</t>
  </si>
  <si>
    <t>P-Boy-374</t>
  </si>
  <si>
    <t>P-Boy-375</t>
  </si>
  <si>
    <t>P-Boy-376</t>
  </si>
  <si>
    <t>P-Boy-377</t>
  </si>
  <si>
    <t>P-Boy-378</t>
  </si>
  <si>
    <t>P-Boy-379</t>
  </si>
  <si>
    <t>P-Boy-380</t>
  </si>
  <si>
    <t>P-Boy-381</t>
  </si>
  <si>
    <t>P-Boy-382</t>
  </si>
  <si>
    <t>P-Boy-383</t>
  </si>
  <si>
    <t>P-Boy-384</t>
  </si>
  <si>
    <t>P-Boy-385</t>
  </si>
  <si>
    <t>P-Boy-386</t>
  </si>
  <si>
    <t>P-Boy-387</t>
  </si>
  <si>
    <t>P-Boy-388</t>
  </si>
  <si>
    <t>P-Boy-389</t>
  </si>
  <si>
    <t>P-Boy-390</t>
  </si>
  <si>
    <t>P-Boy-391</t>
  </si>
  <si>
    <t>P-Boy-392</t>
  </si>
  <si>
    <t>P-Boy-393</t>
  </si>
  <si>
    <t>P-Boy-394</t>
  </si>
  <si>
    <t>P-Boy-395</t>
  </si>
  <si>
    <t>P-Boy-396</t>
  </si>
  <si>
    <t>P-Boy-397</t>
  </si>
  <si>
    <t>P-Boy-398</t>
  </si>
  <si>
    <t>P-Boy-399</t>
  </si>
  <si>
    <t>P-Boy-400</t>
  </si>
  <si>
    <t>P-Girl-0</t>
  </si>
  <si>
    <t>P-Girl-1</t>
  </si>
  <si>
    <t>P-Girl-2</t>
  </si>
  <si>
    <t>P-Girl-3</t>
  </si>
  <si>
    <t>P-Girl-4</t>
  </si>
  <si>
    <t>P-Girl-5</t>
  </si>
  <si>
    <t>P-Girl-6</t>
  </si>
  <si>
    <t>P-Girl-7</t>
  </si>
  <si>
    <t>P-Girl-8</t>
  </si>
  <si>
    <t>P-Girl-9</t>
  </si>
  <si>
    <t>P-Girl-10</t>
  </si>
  <si>
    <t>P-Girl-11</t>
  </si>
  <si>
    <t>P-Girl-12</t>
  </si>
  <si>
    <t>P-Girl-13</t>
  </si>
  <si>
    <t>P-Girl-14</t>
  </si>
  <si>
    <t>P-Girl-15</t>
  </si>
  <si>
    <t>P-Girl-16</t>
  </si>
  <si>
    <t>P-Girl-17</t>
  </si>
  <si>
    <t>P-Girl-18</t>
  </si>
  <si>
    <t>P-Girl-19</t>
  </si>
  <si>
    <t>P-Girl-20</t>
  </si>
  <si>
    <t>P-Girl-21</t>
  </si>
  <si>
    <t>P-Girl-22</t>
  </si>
  <si>
    <t>P-Girl-23</t>
  </si>
  <si>
    <t>P-Girl-24</t>
  </si>
  <si>
    <t>P-Girl-25</t>
  </si>
  <si>
    <t>P-Girl-26</t>
  </si>
  <si>
    <t>P-Girl-27</t>
  </si>
  <si>
    <t>P-Girl-28</t>
  </si>
  <si>
    <t>P-Girl-29</t>
  </si>
  <si>
    <t>P-Girl-30</t>
  </si>
  <si>
    <t>P-Girl-31</t>
  </si>
  <si>
    <t>P-Girl-32</t>
  </si>
  <si>
    <t>P-Girl-33</t>
  </si>
  <si>
    <t>P-Girl-34</t>
  </si>
  <si>
    <t>P-Girl-35</t>
  </si>
  <si>
    <t>P-Girl-36</t>
  </si>
  <si>
    <t>P-Girl-37</t>
  </si>
  <si>
    <t>P-Girl-38</t>
  </si>
  <si>
    <t>P-Girl-39</t>
  </si>
  <si>
    <t>P-Girl-40</t>
  </si>
  <si>
    <t>P-Girl-41</t>
  </si>
  <si>
    <t>P-Girl-42</t>
  </si>
  <si>
    <t>P-Girl-43</t>
  </si>
  <si>
    <t>P-Girl-44</t>
  </si>
  <si>
    <t>P-Girl-45</t>
  </si>
  <si>
    <t>P-Girl-46</t>
  </si>
  <si>
    <t>P-Girl-47</t>
  </si>
  <si>
    <t>P-Girl-48</t>
  </si>
  <si>
    <t>P-Girl-49</t>
  </si>
  <si>
    <t>P-Girl-50</t>
  </si>
  <si>
    <t>P-Girl-51</t>
  </si>
  <si>
    <t>P-Girl-52</t>
  </si>
  <si>
    <t>P-Girl-53</t>
  </si>
  <si>
    <t>P-Girl-54</t>
  </si>
  <si>
    <t>P-Girl-55</t>
  </si>
  <si>
    <t>P-Girl-56</t>
  </si>
  <si>
    <t>P-Girl-57</t>
  </si>
  <si>
    <t>P-Girl-58</t>
  </si>
  <si>
    <t>P-Girl-59</t>
  </si>
  <si>
    <t>P-Girl-60</t>
  </si>
  <si>
    <t>P-Girl-61</t>
  </si>
  <si>
    <t>P-Girl-62</t>
  </si>
  <si>
    <t>P-Girl-63</t>
  </si>
  <si>
    <t>P-Girl-64</t>
  </si>
  <si>
    <t>P-Girl-65</t>
  </si>
  <si>
    <t>P-Girl-66</t>
  </si>
  <si>
    <t>P-Girl-67</t>
  </si>
  <si>
    <t>P-Girl-68</t>
  </si>
  <si>
    <t>P-Girl-69</t>
  </si>
  <si>
    <t>P-Girl-70</t>
  </si>
  <si>
    <t>P-Girl-71</t>
  </si>
  <si>
    <t>P-Girl-72</t>
  </si>
  <si>
    <t>P-Girl-73</t>
  </si>
  <si>
    <t>P-Girl-74</t>
  </si>
  <si>
    <t>P-Girl-75</t>
  </si>
  <si>
    <t>P-Girl-76</t>
  </si>
  <si>
    <t>P-Girl-77</t>
  </si>
  <si>
    <t>P-Girl-78</t>
  </si>
  <si>
    <t>P-Girl-79</t>
  </si>
  <si>
    <t>P-Girl-80</t>
  </si>
  <si>
    <t>P-Girl-81</t>
  </si>
  <si>
    <t>P-Girl-82</t>
  </si>
  <si>
    <t>P-Girl-83</t>
  </si>
  <si>
    <t>P-Girl-84</t>
  </si>
  <si>
    <t>P-Girl-85</t>
  </si>
  <si>
    <t>P-Girl-86</t>
  </si>
  <si>
    <t>P-Girl-87</t>
  </si>
  <si>
    <t>P-Girl-88</t>
  </si>
  <si>
    <t>P-Girl-89</t>
  </si>
  <si>
    <t>P-Girl-90</t>
  </si>
  <si>
    <t>P-Girl-91</t>
  </si>
  <si>
    <t>P-Girl-92</t>
  </si>
  <si>
    <t>P-Girl-93</t>
  </si>
  <si>
    <t>P-Girl-94</t>
  </si>
  <si>
    <t>P-Girl-95</t>
  </si>
  <si>
    <t>P-Girl-96</t>
  </si>
  <si>
    <t>P-Girl-97</t>
  </si>
  <si>
    <t>P-Girl-98</t>
  </si>
  <si>
    <t>P-Girl-99</t>
  </si>
  <si>
    <t>P-Girl-100</t>
  </si>
  <si>
    <t>P-Girl-101</t>
  </si>
  <si>
    <t>P-Girl-102</t>
  </si>
  <si>
    <t>P-Girl-103</t>
  </si>
  <si>
    <t>P-Girl-104</t>
  </si>
  <si>
    <t>P-Girl-105</t>
  </si>
  <si>
    <t>P-Girl-106</t>
  </si>
  <si>
    <t>P-Girl-107</t>
  </si>
  <si>
    <t>P-Girl-108</t>
  </si>
  <si>
    <t>P-Girl-109</t>
  </si>
  <si>
    <t>P-Girl-110</t>
  </si>
  <si>
    <t>P-Girl-111</t>
  </si>
  <si>
    <t>P-Girl-112</t>
  </si>
  <si>
    <t>P-Girl-113</t>
  </si>
  <si>
    <t>P-Girl-114</t>
  </si>
  <si>
    <t>P-Girl-115</t>
  </si>
  <si>
    <t>P-Girl-116</t>
  </si>
  <si>
    <t>P-Girl-117</t>
  </si>
  <si>
    <t>P-Girl-118</t>
  </si>
  <si>
    <t>P-Girl-119</t>
  </si>
  <si>
    <t>P-Girl-120</t>
  </si>
  <si>
    <t>P-Girl-121</t>
  </si>
  <si>
    <t>P-Girl-122</t>
  </si>
  <si>
    <t>P-Girl-123</t>
  </si>
  <si>
    <t>P-Girl-124</t>
  </si>
  <si>
    <t>P-Girl-125</t>
  </si>
  <si>
    <t>P-Girl-126</t>
  </si>
  <si>
    <t>P-Girl-127</t>
  </si>
  <si>
    <t>P-Girl-128</t>
  </si>
  <si>
    <t>P-Girl-129</t>
  </si>
  <si>
    <t>P-Girl-130</t>
  </si>
  <si>
    <t>P-Girl-131</t>
  </si>
  <si>
    <t>P-Girl-132</t>
  </si>
  <si>
    <t>P-Girl-133</t>
  </si>
  <si>
    <t>P-Girl-134</t>
  </si>
  <si>
    <t>P-Girl-135</t>
  </si>
  <si>
    <t>P-Girl-136</t>
  </si>
  <si>
    <t>P-Girl-137</t>
  </si>
  <si>
    <t>P-Girl-138</t>
  </si>
  <si>
    <t>P-Girl-139</t>
  </si>
  <si>
    <t>P-Girl-140</t>
  </si>
  <si>
    <t>P-Girl-141</t>
  </si>
  <si>
    <t>P-Girl-142</t>
  </si>
  <si>
    <t>P-Girl-143</t>
  </si>
  <si>
    <t>P-Girl-144</t>
  </si>
  <si>
    <t>P-Girl-145</t>
  </si>
  <si>
    <t>P-Girl-146</t>
  </si>
  <si>
    <t>P-Girl-147</t>
  </si>
  <si>
    <t>P-Girl-148</t>
  </si>
  <si>
    <t>P-Girl-149</t>
  </si>
  <si>
    <t>P-Girl-150</t>
  </si>
  <si>
    <t>P-Girl-151</t>
  </si>
  <si>
    <t>P-Girl-152</t>
  </si>
  <si>
    <t>P-Girl-153</t>
  </si>
  <si>
    <t>P-Girl-154</t>
  </si>
  <si>
    <t>P-Girl-155</t>
  </si>
  <si>
    <t>P-Girl-156</t>
  </si>
  <si>
    <t>P-Girl-157</t>
  </si>
  <si>
    <t>P-Girl-158</t>
  </si>
  <si>
    <t>P-Girl-159</t>
  </si>
  <si>
    <t>P-Girl-160</t>
  </si>
  <si>
    <t>P-Girl-161</t>
  </si>
  <si>
    <t>P-Girl-162</t>
  </si>
  <si>
    <t>P-Girl-163</t>
  </si>
  <si>
    <t>P-Girl-164</t>
  </si>
  <si>
    <t>P-Girl-165</t>
  </si>
  <si>
    <t>P-Girl-166</t>
  </si>
  <si>
    <t>P-Girl-167</t>
  </si>
  <si>
    <t>P-Girl-168</t>
  </si>
  <si>
    <t>P-Girl-169</t>
  </si>
  <si>
    <t>P-Girl-170</t>
  </si>
  <si>
    <t>P-Girl-171</t>
  </si>
  <si>
    <t>P-Girl-172</t>
  </si>
  <si>
    <t>P-Girl-173</t>
  </si>
  <si>
    <t>P-Girl-174</t>
  </si>
  <si>
    <t>P-Girl-175</t>
  </si>
  <si>
    <t>P-Girl-176</t>
  </si>
  <si>
    <t>P-Girl-177</t>
  </si>
  <si>
    <t>P-Girl-178</t>
  </si>
  <si>
    <t>P-Girl-179</t>
  </si>
  <si>
    <t>P-Girl-180</t>
  </si>
  <si>
    <t>P-Girl-181</t>
  </si>
  <si>
    <t>P-Girl-182</t>
  </si>
  <si>
    <t>P-Girl-183</t>
  </si>
  <si>
    <t>P-Girl-184</t>
  </si>
  <si>
    <t>P-Girl-185</t>
  </si>
  <si>
    <t>P-Girl-186</t>
  </si>
  <si>
    <t>P-Girl-187</t>
  </si>
  <si>
    <t>P-Girl-188</t>
  </si>
  <si>
    <t>P-Girl-189</t>
  </si>
  <si>
    <t>P-Girl-190</t>
  </si>
  <si>
    <t>P-Girl-191</t>
  </si>
  <si>
    <t>P-Girl-192</t>
  </si>
  <si>
    <t>P-Girl-193</t>
  </si>
  <si>
    <t>P-Girl-194</t>
  </si>
  <si>
    <t>P-Girl-195</t>
  </si>
  <si>
    <t>P-Girl-196</t>
  </si>
  <si>
    <t>P-Girl-197</t>
  </si>
  <si>
    <t>P-Girl-198</t>
  </si>
  <si>
    <t>P-Girl-199</t>
  </si>
  <si>
    <t>P-Girl-200</t>
  </si>
  <si>
    <t>P-Girl-201</t>
  </si>
  <si>
    <t>P-Girl-202</t>
  </si>
  <si>
    <t>P-Girl-203</t>
  </si>
  <si>
    <t>P-Girl-204</t>
  </si>
  <si>
    <t>P-Girl-205</t>
  </si>
  <si>
    <t>P-Girl-206</t>
  </si>
  <si>
    <t>P-Girl-207</t>
  </si>
  <si>
    <t>P-Girl-208</t>
  </si>
  <si>
    <t>P-Girl-209</t>
  </si>
  <si>
    <t>P-Girl-210</t>
  </si>
  <si>
    <t>P-Girl-211</t>
  </si>
  <si>
    <t>P-Girl-212</t>
  </si>
  <si>
    <t>P-Girl-213</t>
  </si>
  <si>
    <t>P-Girl-214</t>
  </si>
  <si>
    <t>P-Girl-215</t>
  </si>
  <si>
    <t>P-Girl-216</t>
  </si>
  <si>
    <t>P-Girl-217</t>
  </si>
  <si>
    <t>P-Girl-218</t>
  </si>
  <si>
    <t>P-Girl-219</t>
  </si>
  <si>
    <t>P-Girl-220</t>
  </si>
  <si>
    <t>P-Girl-221</t>
  </si>
  <si>
    <t>P-Girl-222</t>
  </si>
  <si>
    <t>P-Girl-223</t>
  </si>
  <si>
    <t>P-Girl-224</t>
  </si>
  <si>
    <t>P-Girl-225</t>
  </si>
  <si>
    <t>P-Girl-226</t>
  </si>
  <si>
    <t>P-Girl-227</t>
  </si>
  <si>
    <t>P-Girl-228</t>
  </si>
  <si>
    <t>P-Girl-229</t>
  </si>
  <si>
    <t>P-Girl-230</t>
  </si>
  <si>
    <t>P-Girl-231</t>
  </si>
  <si>
    <t>P-Girl-232</t>
  </si>
  <si>
    <t>P-Girl-233</t>
  </si>
  <si>
    <t>P-Girl-234</t>
  </si>
  <si>
    <t>P-Girl-235</t>
  </si>
  <si>
    <t>P-Girl-236</t>
  </si>
  <si>
    <t>P-Girl-237</t>
  </si>
  <si>
    <t>P-Girl-238</t>
  </si>
  <si>
    <t>P-Girl-239</t>
  </si>
  <si>
    <t>P-Girl-240</t>
  </si>
  <si>
    <t>P-Girl-241</t>
  </si>
  <si>
    <t>P-Girl-242</t>
  </si>
  <si>
    <t>P-Girl-243</t>
  </si>
  <si>
    <t>P-Girl-244</t>
  </si>
  <si>
    <t>P-Girl-245</t>
  </si>
  <si>
    <t>P-Girl-246</t>
  </si>
  <si>
    <t>P-Girl-247</t>
  </si>
  <si>
    <t>P-Girl-248</t>
  </si>
  <si>
    <t>P-Girl-249</t>
  </si>
  <si>
    <t>P-Girl-250</t>
  </si>
  <si>
    <t>P-Girl-251</t>
  </si>
  <si>
    <t>P-Girl-252</t>
  </si>
  <si>
    <t>P-Girl-253</t>
  </si>
  <si>
    <t>P-Girl-254</t>
  </si>
  <si>
    <t>P-Girl-255</t>
  </si>
  <si>
    <t>P-Girl-256</t>
  </si>
  <si>
    <t>P-Girl-257</t>
  </si>
  <si>
    <t>P-Girl-258</t>
  </si>
  <si>
    <t>P-Girl-259</t>
  </si>
  <si>
    <t>P-Girl-260</t>
  </si>
  <si>
    <t>P-Girl-261</t>
  </si>
  <si>
    <t>P-Girl-262</t>
  </si>
  <si>
    <t>P-Girl-263</t>
  </si>
  <si>
    <t>P-Girl-264</t>
  </si>
  <si>
    <t>P-Girl-265</t>
  </si>
  <si>
    <t>P-Girl-266</t>
  </si>
  <si>
    <t>P-Girl-267</t>
  </si>
  <si>
    <t>P-Girl-268</t>
  </si>
  <si>
    <t>P-Girl-269</t>
  </si>
  <si>
    <t>P-Girl-270</t>
  </si>
  <si>
    <t>P-Girl-271</t>
  </si>
  <si>
    <t>P-Girl-272</t>
  </si>
  <si>
    <t>P-Girl-273</t>
  </si>
  <si>
    <t>P-Girl-274</t>
  </si>
  <si>
    <t>P-Girl-275</t>
  </si>
  <si>
    <t>P-Girl-276</t>
  </si>
  <si>
    <t>P-Girl-277</t>
  </si>
  <si>
    <t>P-Girl-278</t>
  </si>
  <si>
    <t>P-Girl-279</t>
  </si>
  <si>
    <t>P-Girl-280</t>
  </si>
  <si>
    <t>P-Girl-281</t>
  </si>
  <si>
    <t>P-Girl-282</t>
  </si>
  <si>
    <t>P-Girl-283</t>
  </si>
  <si>
    <t>P-Girl-284</t>
  </si>
  <si>
    <t>P-Girl-285</t>
  </si>
  <si>
    <t>P-Girl-286</t>
  </si>
  <si>
    <t>P-Girl-287</t>
  </si>
  <si>
    <t>P-Girl-288</t>
  </si>
  <si>
    <t>P-Girl-289</t>
  </si>
  <si>
    <t>P-Girl-290</t>
  </si>
  <si>
    <t>P-Girl-291</t>
  </si>
  <si>
    <t>P-Girl-292</t>
  </si>
  <si>
    <t>P-Girl-293</t>
  </si>
  <si>
    <t>P-Girl-294</t>
  </si>
  <si>
    <t>P-Girl-295</t>
  </si>
  <si>
    <t>P-Girl-296</t>
  </si>
  <si>
    <t>P-Girl-297</t>
  </si>
  <si>
    <t>P-Girl-298</t>
  </si>
  <si>
    <t>P-Girl-299</t>
  </si>
  <si>
    <t>P-Girl-300</t>
  </si>
  <si>
    <t>P-Girl-301</t>
  </si>
  <si>
    <t>P-Girl-302</t>
  </si>
  <si>
    <t>P-Girl-303</t>
  </si>
  <si>
    <t>P-Girl-304</t>
  </si>
  <si>
    <t>P-Girl-305</t>
  </si>
  <si>
    <t>P-Girl-306</t>
  </si>
  <si>
    <t>P-Girl-307</t>
  </si>
  <si>
    <t>P-Girl-308</t>
  </si>
  <si>
    <t>P-Girl-309</t>
  </si>
  <si>
    <t>P-Girl-310</t>
  </si>
  <si>
    <t>P-Girl-311</t>
  </si>
  <si>
    <t>P-Girl-312</t>
  </si>
  <si>
    <t>P-Girl-313</t>
  </si>
  <si>
    <t>P-Girl-314</t>
  </si>
  <si>
    <t>P-Girl-315</t>
  </si>
  <si>
    <t>P-Girl-316</t>
  </si>
  <si>
    <t>P-Girl-317</t>
  </si>
  <si>
    <t>P-Girl-318</t>
  </si>
  <si>
    <t>P-Girl-319</t>
  </si>
  <si>
    <t>P-Girl-320</t>
  </si>
  <si>
    <t>P-Girl-321</t>
  </si>
  <si>
    <t>P-Girl-322</t>
  </si>
  <si>
    <t>P-Girl-323</t>
  </si>
  <si>
    <t>P-Girl-324</t>
  </si>
  <si>
    <t>P-Girl-325</t>
  </si>
  <si>
    <t>P-Girl-326</t>
  </si>
  <si>
    <t>P-Girl-327</t>
  </si>
  <si>
    <t>P-Girl-328</t>
  </si>
  <si>
    <t>P-Girl-329</t>
  </si>
  <si>
    <t>P-Girl-330</t>
  </si>
  <si>
    <t>P-Girl-331</t>
  </si>
  <si>
    <t>P-Girl-332</t>
  </si>
  <si>
    <t>P-Girl-333</t>
  </si>
  <si>
    <t>P-Girl-334</t>
  </si>
  <si>
    <t>P-Girl-335</t>
  </si>
  <si>
    <t>P-Girl-336</t>
  </si>
  <si>
    <t>P-Girl-337</t>
  </si>
  <si>
    <t>P-Girl-338</t>
  </si>
  <si>
    <t>P-Girl-339</t>
  </si>
  <si>
    <t>P-Girl-340</t>
  </si>
  <si>
    <t>P-Girl-341</t>
  </si>
  <si>
    <t>P-Girl-342</t>
  </si>
  <si>
    <t>P-Girl-343</t>
  </si>
  <si>
    <t>P-Girl-344</t>
  </si>
  <si>
    <t>P-Girl-345</t>
  </si>
  <si>
    <t>P-Girl-346</t>
  </si>
  <si>
    <t>P-Girl-347</t>
  </si>
  <si>
    <t>P-Girl-348</t>
  </si>
  <si>
    <t>P-Girl-349</t>
  </si>
  <si>
    <t>P-Girl-350</t>
  </si>
  <si>
    <t>P-Girl-351</t>
  </si>
  <si>
    <t>P-Girl-352</t>
  </si>
  <si>
    <t>P-Girl-353</t>
  </si>
  <si>
    <t>P-Girl-354</t>
  </si>
  <si>
    <t>P-Girl-355</t>
  </si>
  <si>
    <t>P-Girl-356</t>
  </si>
  <si>
    <t>P-Girl-357</t>
  </si>
  <si>
    <t>P-Girl-358</t>
  </si>
  <si>
    <t>P-Girl-359</t>
  </si>
  <si>
    <t>P-Girl-360</t>
  </si>
  <si>
    <t>P-Girl-361</t>
  </si>
  <si>
    <t>P-Girl-362</t>
  </si>
  <si>
    <t>P-Girl-363</t>
  </si>
  <si>
    <t>P-Girl-364</t>
  </si>
  <si>
    <t>P-Girl-365</t>
  </si>
  <si>
    <t>P-Girl-366</t>
  </si>
  <si>
    <t>P-Girl-367</t>
  </si>
  <si>
    <t>P-Girl-368</t>
  </si>
  <si>
    <t>P-Girl-369</t>
  </si>
  <si>
    <t>P-Girl-370</t>
  </si>
  <si>
    <t>P-Girl-371</t>
  </si>
  <si>
    <t>P-Girl-372</t>
  </si>
  <si>
    <t>P-Girl-373</t>
  </si>
  <si>
    <t>P-Girl-374</t>
  </si>
  <si>
    <t>P-Girl-375</t>
  </si>
  <si>
    <t>P-Girl-376</t>
  </si>
  <si>
    <t>P-Girl-377</t>
  </si>
  <si>
    <t>P-Girl-378</t>
  </si>
  <si>
    <t>P-Girl-379</t>
  </si>
  <si>
    <t>P-Girl-380</t>
  </si>
  <si>
    <t>P-Girl-381</t>
  </si>
  <si>
    <t>P-Girl-382</t>
  </si>
  <si>
    <t>P-Girl-383</t>
  </si>
  <si>
    <t>P-Girl-384</t>
  </si>
  <si>
    <t>P-Girl-385</t>
  </si>
  <si>
    <t>P-Girl-386</t>
  </si>
  <si>
    <t>P-Girl-387</t>
  </si>
  <si>
    <t>P-Girl-388</t>
  </si>
  <si>
    <t>P-Girl-389</t>
  </si>
  <si>
    <t>P-Girl-390</t>
  </si>
  <si>
    <t>P-Girl-391</t>
  </si>
  <si>
    <t>P-Girl-392</t>
  </si>
  <si>
    <t>P-Girl-393</t>
  </si>
  <si>
    <t>P-Girl-394</t>
  </si>
  <si>
    <t>P-Girl-395</t>
  </si>
  <si>
    <t>P-Girl-396</t>
  </si>
  <si>
    <t>P-Girl-397</t>
  </si>
  <si>
    <t>P-Girl-398</t>
  </si>
  <si>
    <t>P-Girl-399</t>
  </si>
  <si>
    <t>P-Girl-400</t>
  </si>
  <si>
    <t>S-Boy-0</t>
  </si>
  <si>
    <t>S-Boy-1</t>
  </si>
  <si>
    <t>S-Boy-2</t>
  </si>
  <si>
    <t>S-Boy-3</t>
  </si>
  <si>
    <t>S-Boy-4</t>
  </si>
  <si>
    <t>S-Boy-5</t>
  </si>
  <si>
    <t>S-Boy-6</t>
  </si>
  <si>
    <t>S-Boy-7</t>
  </si>
  <si>
    <t>S-Boy-8</t>
  </si>
  <si>
    <t>S-Boy-9</t>
  </si>
  <si>
    <t>S-Boy-10</t>
  </si>
  <si>
    <t>S-Boy-11</t>
  </si>
  <si>
    <t>S-Boy-12</t>
  </si>
  <si>
    <t>S-Boy-13</t>
  </si>
  <si>
    <t>S-Boy-14</t>
  </si>
  <si>
    <t>S-Boy-15</t>
  </si>
  <si>
    <t>S-Boy-16</t>
  </si>
  <si>
    <t>S-Boy-17</t>
  </si>
  <si>
    <t>S-Boy-18</t>
  </si>
  <si>
    <t>S-Boy-19</t>
  </si>
  <si>
    <t>S-Boy-20</t>
  </si>
  <si>
    <t>S-Boy-21</t>
  </si>
  <si>
    <t>S-Boy-22</t>
  </si>
  <si>
    <t>S-Boy-23</t>
  </si>
  <si>
    <t>S-Boy-24</t>
  </si>
  <si>
    <t>S-Boy-25</t>
  </si>
  <si>
    <t>S-Boy-26</t>
  </si>
  <si>
    <t>S-Boy-27</t>
  </si>
  <si>
    <t>S-Boy-28</t>
  </si>
  <si>
    <t>S-Boy-29</t>
  </si>
  <si>
    <t>S-Boy-30</t>
  </si>
  <si>
    <t>S-Boy-31</t>
  </si>
  <si>
    <t>S-Boy-32</t>
  </si>
  <si>
    <t>S-Boy-33</t>
  </si>
  <si>
    <t>S-Boy-34</t>
  </si>
  <si>
    <t>S-Boy-35</t>
  </si>
  <si>
    <t>S-Boy-36</t>
  </si>
  <si>
    <t>S-Boy-37</t>
  </si>
  <si>
    <t>S-Boy-38</t>
  </si>
  <si>
    <t>S-Boy-39</t>
  </si>
  <si>
    <t>S-Boy-40</t>
  </si>
  <si>
    <t>S-Boy-41</t>
  </si>
  <si>
    <t>S-Boy-42</t>
  </si>
  <si>
    <t>S-Boy-43</t>
  </si>
  <si>
    <t>S-Boy-44</t>
  </si>
  <si>
    <t>S-Boy-45</t>
  </si>
  <si>
    <t>S-Boy-46</t>
  </si>
  <si>
    <t>S-Boy-47</t>
  </si>
  <si>
    <t>S-Boy-48</t>
  </si>
  <si>
    <t>S-Boy-49</t>
  </si>
  <si>
    <t>S-Boy-50</t>
  </si>
  <si>
    <t>S-Boy-51</t>
  </si>
  <si>
    <t>S-Boy-52</t>
  </si>
  <si>
    <t>S-Boy-53</t>
  </si>
  <si>
    <t>S-Boy-54</t>
  </si>
  <si>
    <t>S-Boy-55</t>
  </si>
  <si>
    <t>S-Boy-56</t>
  </si>
  <si>
    <t>S-Boy-57</t>
  </si>
  <si>
    <t>S-Boy-58</t>
  </si>
  <si>
    <t>S-Boy-59</t>
  </si>
  <si>
    <t>S-Boy-60</t>
  </si>
  <si>
    <t>S-Boy-61</t>
  </si>
  <si>
    <t>S-Boy-62</t>
  </si>
  <si>
    <t>S-Boy-63</t>
  </si>
  <si>
    <t>S-Boy-64</t>
  </si>
  <si>
    <t>S-Boy-65</t>
  </si>
  <si>
    <t>S-Boy-66</t>
  </si>
  <si>
    <t>S-Boy-67</t>
  </si>
  <si>
    <t>S-Boy-68</t>
  </si>
  <si>
    <t>S-Boy-69</t>
  </si>
  <si>
    <t>S-Boy-70</t>
  </si>
  <si>
    <t>S-Boy-71</t>
  </si>
  <si>
    <t>S-Boy-72</t>
  </si>
  <si>
    <t>S-Boy-73</t>
  </si>
  <si>
    <t>S-Boy-74</t>
  </si>
  <si>
    <t>S-Boy-75</t>
  </si>
  <si>
    <t>S-Boy-76</t>
  </si>
  <si>
    <t>S-Boy-77</t>
  </si>
  <si>
    <t>S-Boy-78</t>
  </si>
  <si>
    <t>S-Boy-79</t>
  </si>
  <si>
    <t>S-Boy-80</t>
  </si>
  <si>
    <t>S-Boy-81</t>
  </si>
  <si>
    <t>S-Boy-82</t>
  </si>
  <si>
    <t>S-Boy-83</t>
  </si>
  <si>
    <t>S-Boy-84</t>
  </si>
  <si>
    <t>S-Boy-85</t>
  </si>
  <si>
    <t>S-Boy-86</t>
  </si>
  <si>
    <t>S-Boy-87</t>
  </si>
  <si>
    <t>S-Boy-88</t>
  </si>
  <si>
    <t>S-Boy-89</t>
  </si>
  <si>
    <t>S-Boy-90</t>
  </si>
  <si>
    <t>S-Boy-91</t>
  </si>
  <si>
    <t>S-Boy-92</t>
  </si>
  <si>
    <t>S-Boy-93</t>
  </si>
  <si>
    <t>S-Boy-94</t>
  </si>
  <si>
    <t>S-Boy-95</t>
  </si>
  <si>
    <t>S-Boy-96</t>
  </si>
  <si>
    <t>S-Boy-97</t>
  </si>
  <si>
    <t>S-Boy-98</t>
  </si>
  <si>
    <t>S-Boy-99</t>
  </si>
  <si>
    <t>S-Boy-100</t>
  </si>
  <si>
    <t>S-Boy-101</t>
  </si>
  <si>
    <t>S-Boy-102</t>
  </si>
  <si>
    <t>S-Boy-103</t>
  </si>
  <si>
    <t>S-Boy-104</t>
  </si>
  <si>
    <t>S-Boy-105</t>
  </si>
  <si>
    <t>S-Boy-106</t>
  </si>
  <si>
    <t>S-Boy-107</t>
  </si>
  <si>
    <t>S-Boy-108</t>
  </si>
  <si>
    <t>S-Boy-109</t>
  </si>
  <si>
    <t>S-Boy-110</t>
  </si>
  <si>
    <t>S-Boy-111</t>
  </si>
  <si>
    <t>S-Boy-112</t>
  </si>
  <si>
    <t>S-Boy-113</t>
  </si>
  <si>
    <t>S-Boy-114</t>
  </si>
  <si>
    <t>S-Boy-115</t>
  </si>
  <si>
    <t>S-Boy-116</t>
  </si>
  <si>
    <t>S-Boy-117</t>
  </si>
  <si>
    <t>S-Boy-118</t>
  </si>
  <si>
    <t>S-Boy-119</t>
  </si>
  <si>
    <t>S-Boy-120</t>
  </si>
  <si>
    <t>S-Boy-121</t>
  </si>
  <si>
    <t>S-Boy-122</t>
  </si>
  <si>
    <t>S-Boy-123</t>
  </si>
  <si>
    <t>S-Boy-124</t>
  </si>
  <si>
    <t>S-Boy-125</t>
  </si>
  <si>
    <t>S-Boy-126</t>
  </si>
  <si>
    <t>S-Boy-127</t>
  </si>
  <si>
    <t>S-Boy-128</t>
  </si>
  <si>
    <t>S-Boy-129</t>
  </si>
  <si>
    <t>S-Boy-130</t>
  </si>
  <si>
    <t>S-Boy-131</t>
  </si>
  <si>
    <t>S-Boy-132</t>
  </si>
  <si>
    <t>S-Boy-133</t>
  </si>
  <si>
    <t>S-Boy-134</t>
  </si>
  <si>
    <t>S-Boy-135</t>
  </si>
  <si>
    <t>S-Boy-136</t>
  </si>
  <si>
    <t>S-Boy-137</t>
  </si>
  <si>
    <t>S-Boy-138</t>
  </si>
  <si>
    <t>S-Boy-139</t>
  </si>
  <si>
    <t>S-Boy-140</t>
  </si>
  <si>
    <t>S-Boy-141</t>
  </si>
  <si>
    <t>S-Boy-142</t>
  </si>
  <si>
    <t>S-Boy-143</t>
  </si>
  <si>
    <t>S-Boy-144</t>
  </si>
  <si>
    <t>S-Boy-145</t>
  </si>
  <si>
    <t>S-Boy-146</t>
  </si>
  <si>
    <t>S-Boy-147</t>
  </si>
  <si>
    <t>S-Boy-148</t>
  </si>
  <si>
    <t>S-Boy-149</t>
  </si>
  <si>
    <t>S-Boy-150</t>
  </si>
  <si>
    <t>S-Boy-151</t>
  </si>
  <si>
    <t>S-Boy-152</t>
  </si>
  <si>
    <t>S-Boy-153</t>
  </si>
  <si>
    <t>S-Boy-154</t>
  </si>
  <si>
    <t>S-Boy-155</t>
  </si>
  <si>
    <t>S-Boy-156</t>
  </si>
  <si>
    <t>S-Boy-157</t>
  </si>
  <si>
    <t>S-Boy-158</t>
  </si>
  <si>
    <t>S-Boy-159</t>
  </si>
  <si>
    <t>S-Boy-160</t>
  </si>
  <si>
    <t>S-Boy-161</t>
  </si>
  <si>
    <t>S-Boy-162</t>
  </si>
  <si>
    <t>S-Boy-163</t>
  </si>
  <si>
    <t>S-Boy-164</t>
  </si>
  <si>
    <t>S-Boy-165</t>
  </si>
  <si>
    <t>S-Boy-166</t>
  </si>
  <si>
    <t>S-Boy-167</t>
  </si>
  <si>
    <t>S-Boy-168</t>
  </si>
  <si>
    <t>S-Boy-169</t>
  </si>
  <si>
    <t>S-Boy-170</t>
  </si>
  <si>
    <t>S-Boy-171</t>
  </si>
  <si>
    <t>S-Boy-172</t>
  </si>
  <si>
    <t>S-Boy-173</t>
  </si>
  <si>
    <t>S-Boy-174</t>
  </si>
  <si>
    <t>S-Boy-175</t>
  </si>
  <si>
    <t>S-Boy-176</t>
  </si>
  <si>
    <t>S-Boy-177</t>
  </si>
  <si>
    <t>S-Boy-178</t>
  </si>
  <si>
    <t>S-Boy-179</t>
  </si>
  <si>
    <t>S-Boy-180</t>
  </si>
  <si>
    <t>S-Boy-181</t>
  </si>
  <si>
    <t>S-Boy-182</t>
  </si>
  <si>
    <t>S-Boy-183</t>
  </si>
  <si>
    <t>S-Boy-184</t>
  </si>
  <si>
    <t>S-Boy-185</t>
  </si>
  <si>
    <t>S-Boy-186</t>
  </si>
  <si>
    <t>S-Boy-187</t>
  </si>
  <si>
    <t>S-Boy-188</t>
  </si>
  <si>
    <t>S-Boy-189</t>
  </si>
  <si>
    <t>S-Boy-190</t>
  </si>
  <si>
    <t>S-Boy-191</t>
  </si>
  <si>
    <t>S-Boy-192</t>
  </si>
  <si>
    <t>S-Boy-193</t>
  </si>
  <si>
    <t>S-Boy-194</t>
  </si>
  <si>
    <t>S-Boy-195</t>
  </si>
  <si>
    <t>S-Boy-196</t>
  </si>
  <si>
    <t>S-Boy-197</t>
  </si>
  <si>
    <t>S-Boy-198</t>
  </si>
  <si>
    <t>S-Boy-199</t>
  </si>
  <si>
    <t>S-Boy-200</t>
  </si>
  <si>
    <t>S-Boy-201</t>
  </si>
  <si>
    <t>S-Boy-202</t>
  </si>
  <si>
    <t>S-Boy-203</t>
  </si>
  <si>
    <t>S-Boy-204</t>
  </si>
  <si>
    <t>S-Boy-205</t>
  </si>
  <si>
    <t>S-Boy-206</t>
  </si>
  <si>
    <t>S-Boy-207</t>
  </si>
  <si>
    <t>S-Boy-208</t>
  </si>
  <si>
    <t>S-Boy-209</t>
  </si>
  <si>
    <t>S-Boy-210</t>
  </si>
  <si>
    <t>S-Boy-211</t>
  </si>
  <si>
    <t>S-Boy-212</t>
  </si>
  <si>
    <t>S-Boy-213</t>
  </si>
  <si>
    <t>S-Boy-214</t>
  </si>
  <si>
    <t>S-Boy-215</t>
  </si>
  <si>
    <t>S-Boy-216</t>
  </si>
  <si>
    <t>S-Boy-217</t>
  </si>
  <si>
    <t>S-Boy-218</t>
  </si>
  <si>
    <t>S-Boy-219</t>
  </si>
  <si>
    <t>S-Boy-220</t>
  </si>
  <si>
    <t>S-Boy-221</t>
  </si>
  <si>
    <t>S-Boy-222</t>
  </si>
  <si>
    <t>S-Boy-223</t>
  </si>
  <si>
    <t>S-Boy-224</t>
  </si>
  <si>
    <t>S-Boy-225</t>
  </si>
  <si>
    <t>S-Boy-226</t>
  </si>
  <si>
    <t>S-Boy-227</t>
  </si>
  <si>
    <t>S-Boy-228</t>
  </si>
  <si>
    <t>S-Boy-229</t>
  </si>
  <si>
    <t>S-Boy-230</t>
  </si>
  <si>
    <t>S-Boy-231</t>
  </si>
  <si>
    <t>S-Boy-232</t>
  </si>
  <si>
    <t>S-Boy-233</t>
  </si>
  <si>
    <t>S-Boy-234</t>
  </si>
  <si>
    <t>S-Boy-235</t>
  </si>
  <si>
    <t>S-Boy-236</t>
  </si>
  <si>
    <t>S-Boy-237</t>
  </si>
  <si>
    <t>S-Boy-238</t>
  </si>
  <si>
    <t>S-Boy-239</t>
  </si>
  <si>
    <t>S-Boy-240</t>
  </si>
  <si>
    <t>S-Boy-241</t>
  </si>
  <si>
    <t>S-Boy-242</t>
  </si>
  <si>
    <t>S-Boy-243</t>
  </si>
  <si>
    <t>S-Boy-244</t>
  </si>
  <si>
    <t>S-Boy-245</t>
  </si>
  <si>
    <t>S-Boy-246</t>
  </si>
  <si>
    <t>S-Boy-247</t>
  </si>
  <si>
    <t>S-Boy-248</t>
  </si>
  <si>
    <t>S-Boy-249</t>
  </si>
  <si>
    <t>S-Boy-250</t>
  </si>
  <si>
    <t>S-Boy-251</t>
  </si>
  <si>
    <t>S-Boy-252</t>
  </si>
  <si>
    <t>S-Boy-253</t>
  </si>
  <si>
    <t>S-Boy-254</t>
  </si>
  <si>
    <t>S-Boy-255</t>
  </si>
  <si>
    <t>S-Boy-256</t>
  </si>
  <si>
    <t>S-Boy-257</t>
  </si>
  <si>
    <t>S-Boy-258</t>
  </si>
  <si>
    <t>S-Boy-259</t>
  </si>
  <si>
    <t>S-Boy-260</t>
  </si>
  <si>
    <t>S-Boy-261</t>
  </si>
  <si>
    <t>S-Boy-262</t>
  </si>
  <si>
    <t>S-Boy-263</t>
  </si>
  <si>
    <t>S-Boy-264</t>
  </si>
  <si>
    <t>S-Boy-265</t>
  </si>
  <si>
    <t>S-Boy-266</t>
  </si>
  <si>
    <t>S-Boy-267</t>
  </si>
  <si>
    <t>S-Boy-268</t>
  </si>
  <si>
    <t>S-Boy-269</t>
  </si>
  <si>
    <t>S-Boy-270</t>
  </si>
  <si>
    <t>S-Boy-271</t>
  </si>
  <si>
    <t>S-Boy-272</t>
  </si>
  <si>
    <t>S-Boy-273</t>
  </si>
  <si>
    <t>S-Boy-274</t>
  </si>
  <si>
    <t>S-Boy-275</t>
  </si>
  <si>
    <t>S-Boy-276</t>
  </si>
  <si>
    <t>S-Boy-277</t>
  </si>
  <si>
    <t>S-Boy-278</t>
  </si>
  <si>
    <t>S-Boy-279</t>
  </si>
  <si>
    <t>S-Boy-280</t>
  </si>
  <si>
    <t>S-Boy-281</t>
  </si>
  <si>
    <t>S-Boy-282</t>
  </si>
  <si>
    <t>S-Boy-283</t>
  </si>
  <si>
    <t>S-Boy-284</t>
  </si>
  <si>
    <t>S-Boy-285</t>
  </si>
  <si>
    <t>S-Boy-286</t>
  </si>
  <si>
    <t>S-Boy-287</t>
  </si>
  <si>
    <t>S-Boy-288</t>
  </si>
  <si>
    <t>S-Boy-289</t>
  </si>
  <si>
    <t>S-Boy-290</t>
  </si>
  <si>
    <t>S-Boy-291</t>
  </si>
  <si>
    <t>S-Boy-292</t>
  </si>
  <si>
    <t>S-Boy-293</t>
  </si>
  <si>
    <t>S-Boy-294</t>
  </si>
  <si>
    <t>S-Boy-295</t>
  </si>
  <si>
    <t>S-Boy-296</t>
  </si>
  <si>
    <t>S-Boy-297</t>
  </si>
  <si>
    <t>S-Boy-298</t>
  </si>
  <si>
    <t>S-Boy-299</t>
  </si>
  <si>
    <t>S-Boy-300</t>
  </si>
  <si>
    <t>S-Boy-301</t>
  </si>
  <si>
    <t>S-Boy-302</t>
  </si>
  <si>
    <t>S-Boy-303</t>
  </si>
  <si>
    <t>S-Boy-304</t>
  </si>
  <si>
    <t>S-Boy-305</t>
  </si>
  <si>
    <t>S-Boy-306</t>
  </si>
  <si>
    <t>S-Boy-307</t>
  </si>
  <si>
    <t>S-Boy-308</t>
  </si>
  <si>
    <t>S-Boy-309</t>
  </si>
  <si>
    <t>S-Boy-310</t>
  </si>
  <si>
    <t>S-Boy-311</t>
  </si>
  <si>
    <t>S-Boy-312</t>
  </si>
  <si>
    <t>S-Boy-313</t>
  </si>
  <si>
    <t>S-Boy-314</t>
  </si>
  <si>
    <t>S-Boy-315</t>
  </si>
  <si>
    <t>S-Boy-316</t>
  </si>
  <si>
    <t>S-Boy-317</t>
  </si>
  <si>
    <t>S-Boy-318</t>
  </si>
  <si>
    <t>S-Boy-319</t>
  </si>
  <si>
    <t>S-Boy-320</t>
  </si>
  <si>
    <t>S-Boy-321</t>
  </si>
  <si>
    <t>S-Boy-322</t>
  </si>
  <si>
    <t>S-Boy-323</t>
  </si>
  <si>
    <t>S-Boy-324</t>
  </si>
  <si>
    <t>S-Boy-325</t>
  </si>
  <si>
    <t>S-Boy-326</t>
  </si>
  <si>
    <t>S-Boy-327</t>
  </si>
  <si>
    <t>S-Boy-328</t>
  </si>
  <si>
    <t>S-Boy-329</t>
  </si>
  <si>
    <t>S-Boy-330</t>
  </si>
  <si>
    <t>S-Boy-331</t>
  </si>
  <si>
    <t>S-Boy-332</t>
  </si>
  <si>
    <t>S-Boy-333</t>
  </si>
  <si>
    <t>S-Boy-334</t>
  </si>
  <si>
    <t>S-Boy-335</t>
  </si>
  <si>
    <t>S-Boy-336</t>
  </si>
  <si>
    <t>S-Boy-337</t>
  </si>
  <si>
    <t>S-Boy-338</t>
  </si>
  <si>
    <t>S-Boy-339</t>
  </si>
  <si>
    <t>S-Boy-340</t>
  </si>
  <si>
    <t>S-Boy-341</t>
  </si>
  <si>
    <t>S-Boy-342</t>
  </si>
  <si>
    <t>S-Boy-343</t>
  </si>
  <si>
    <t>S-Boy-344</t>
  </si>
  <si>
    <t>S-Boy-345</t>
  </si>
  <si>
    <t>S-Boy-346</t>
  </si>
  <si>
    <t>S-Boy-347</t>
  </si>
  <si>
    <t>S-Boy-348</t>
  </si>
  <si>
    <t>S-Boy-349</t>
  </si>
  <si>
    <t>S-Boy-350</t>
  </si>
  <si>
    <t>S-Boy-351</t>
  </si>
  <si>
    <t>S-Boy-352</t>
  </si>
  <si>
    <t>S-Boy-353</t>
  </si>
  <si>
    <t>S-Boy-354</t>
  </si>
  <si>
    <t>S-Boy-355</t>
  </si>
  <si>
    <t>S-Boy-356</t>
  </si>
  <si>
    <t>S-Boy-357</t>
  </si>
  <si>
    <t>S-Boy-358</t>
  </si>
  <si>
    <t>S-Boy-359</t>
  </si>
  <si>
    <t>S-Boy-360</t>
  </si>
  <si>
    <t>S-Boy-361</t>
  </si>
  <si>
    <t>S-Boy-362</t>
  </si>
  <si>
    <t>S-Boy-363</t>
  </si>
  <si>
    <t>S-Boy-364</t>
  </si>
  <si>
    <t>S-Boy-365</t>
  </si>
  <si>
    <t>S-Boy-366</t>
  </si>
  <si>
    <t>S-Boy-367</t>
  </si>
  <si>
    <t>S-Boy-368</t>
  </si>
  <si>
    <t>S-Boy-369</t>
  </si>
  <si>
    <t>S-Boy-370</t>
  </si>
  <si>
    <t>S-Boy-371</t>
  </si>
  <si>
    <t>S-Boy-372</t>
  </si>
  <si>
    <t>S-Boy-373</t>
  </si>
  <si>
    <t>S-Boy-374</t>
  </si>
  <si>
    <t>S-Boy-375</t>
  </si>
  <si>
    <t>S-Boy-376</t>
  </si>
  <si>
    <t>S-Boy-377</t>
  </si>
  <si>
    <t>S-Boy-378</t>
  </si>
  <si>
    <t>S-Boy-379</t>
  </si>
  <si>
    <t>S-Boy-380</t>
  </si>
  <si>
    <t>S-Boy-381</t>
  </si>
  <si>
    <t>S-Boy-382</t>
  </si>
  <si>
    <t>S-Boy-383</t>
  </si>
  <si>
    <t>S-Boy-384</t>
  </si>
  <si>
    <t>S-Boy-385</t>
  </si>
  <si>
    <t>S-Boy-386</t>
  </si>
  <si>
    <t>S-Boy-387</t>
  </si>
  <si>
    <t>S-Boy-388</t>
  </si>
  <si>
    <t>S-Boy-389</t>
  </si>
  <si>
    <t>S-Boy-390</t>
  </si>
  <si>
    <t>S-Boy-391</t>
  </si>
  <si>
    <t>S-Boy-392</t>
  </si>
  <si>
    <t>S-Boy-393</t>
  </si>
  <si>
    <t>S-Boy-394</t>
  </si>
  <si>
    <t>S-Boy-395</t>
  </si>
  <si>
    <t>S-Boy-396</t>
  </si>
  <si>
    <t>S-Boy-397</t>
  </si>
  <si>
    <t>S-Boy-398</t>
  </si>
  <si>
    <t>S-Boy-399</t>
  </si>
  <si>
    <t>S-Boy-400</t>
  </si>
  <si>
    <t>S-Girl-0</t>
  </si>
  <si>
    <t>S-Girl-1</t>
  </si>
  <si>
    <t>S-Girl-2</t>
  </si>
  <si>
    <t>S-Girl-3</t>
  </si>
  <si>
    <t>S-Girl-4</t>
  </si>
  <si>
    <t>S-Girl-5</t>
  </si>
  <si>
    <t>S-Girl-6</t>
  </si>
  <si>
    <t>S-Girl-7</t>
  </si>
  <si>
    <t>S-Girl-8</t>
  </si>
  <si>
    <t>S-Girl-9</t>
  </si>
  <si>
    <t>S-Girl-10</t>
  </si>
  <si>
    <t>S-Girl-11</t>
  </si>
  <si>
    <t>S-Girl-12</t>
  </si>
  <si>
    <t>S-Girl-13</t>
  </si>
  <si>
    <t>S-Girl-14</t>
  </si>
  <si>
    <t>S-Girl-15</t>
  </si>
  <si>
    <t>S-Girl-16</t>
  </si>
  <si>
    <t>S-Girl-17</t>
  </si>
  <si>
    <t>S-Girl-18</t>
  </si>
  <si>
    <t>S-Girl-19</t>
  </si>
  <si>
    <t>S-Girl-20</t>
  </si>
  <si>
    <t>S-Girl-21</t>
  </si>
  <si>
    <t>S-Girl-22</t>
  </si>
  <si>
    <t>S-Girl-23</t>
  </si>
  <si>
    <t>S-Girl-24</t>
  </si>
  <si>
    <t>S-Girl-25</t>
  </si>
  <si>
    <t>S-Girl-26</t>
  </si>
  <si>
    <t>S-Girl-27</t>
  </si>
  <si>
    <t>S-Girl-28</t>
  </si>
  <si>
    <t>S-Girl-29</t>
  </si>
  <si>
    <t>S-Girl-30</t>
  </si>
  <si>
    <t>S-Girl-31</t>
  </si>
  <si>
    <t>S-Girl-32</t>
  </si>
  <si>
    <t>S-Girl-33</t>
  </si>
  <si>
    <t>S-Girl-34</t>
  </si>
  <si>
    <t>S-Girl-35</t>
  </si>
  <si>
    <t>S-Girl-36</t>
  </si>
  <si>
    <t>S-Girl-37</t>
  </si>
  <si>
    <t>S-Girl-38</t>
  </si>
  <si>
    <t>S-Girl-39</t>
  </si>
  <si>
    <t>S-Girl-40</t>
  </si>
  <si>
    <t>S-Girl-41</t>
  </si>
  <si>
    <t>S-Girl-42</t>
  </si>
  <si>
    <t>S-Girl-43</t>
  </si>
  <si>
    <t>S-Girl-44</t>
  </si>
  <si>
    <t>S-Girl-45</t>
  </si>
  <si>
    <t>S-Girl-46</t>
  </si>
  <si>
    <t>S-Girl-47</t>
  </si>
  <si>
    <t>S-Girl-48</t>
  </si>
  <si>
    <t>S-Girl-49</t>
  </si>
  <si>
    <t>S-Girl-50</t>
  </si>
  <si>
    <t>S-Girl-51</t>
  </si>
  <si>
    <t>S-Girl-52</t>
  </si>
  <si>
    <t>S-Girl-53</t>
  </si>
  <si>
    <t>S-Girl-54</t>
  </si>
  <si>
    <t>S-Girl-55</t>
  </si>
  <si>
    <t>S-Girl-56</t>
  </si>
  <si>
    <t>S-Girl-57</t>
  </si>
  <si>
    <t>S-Girl-58</t>
  </si>
  <si>
    <t>S-Girl-59</t>
  </si>
  <si>
    <t>S-Girl-60</t>
  </si>
  <si>
    <t>S-Girl-61</t>
  </si>
  <si>
    <t>S-Girl-62</t>
  </si>
  <si>
    <t>S-Girl-63</t>
  </si>
  <si>
    <t>S-Girl-64</t>
  </si>
  <si>
    <t>S-Girl-65</t>
  </si>
  <si>
    <t>S-Girl-66</t>
  </si>
  <si>
    <t>S-Girl-67</t>
  </si>
  <si>
    <t>S-Girl-68</t>
  </si>
  <si>
    <t>S-Girl-69</t>
  </si>
  <si>
    <t>S-Girl-70</t>
  </si>
  <si>
    <t>S-Girl-71</t>
  </si>
  <si>
    <t>S-Girl-72</t>
  </si>
  <si>
    <t>S-Girl-73</t>
  </si>
  <si>
    <t>S-Girl-74</t>
  </si>
  <si>
    <t>S-Girl-75</t>
  </si>
  <si>
    <t>S-Girl-76</t>
  </si>
  <si>
    <t>S-Girl-77</t>
  </si>
  <si>
    <t>S-Girl-78</t>
  </si>
  <si>
    <t>S-Girl-79</t>
  </si>
  <si>
    <t>S-Girl-80</t>
  </si>
  <si>
    <t>S-Girl-81</t>
  </si>
  <si>
    <t>S-Girl-82</t>
  </si>
  <si>
    <t>S-Girl-83</t>
  </si>
  <si>
    <t>S-Girl-84</t>
  </si>
  <si>
    <t>S-Girl-85</t>
  </si>
  <si>
    <t>S-Girl-86</t>
  </si>
  <si>
    <t>S-Girl-87</t>
  </si>
  <si>
    <t>S-Girl-88</t>
  </si>
  <si>
    <t>S-Girl-89</t>
  </si>
  <si>
    <t>S-Girl-90</t>
  </si>
  <si>
    <t>S-Girl-91</t>
  </si>
  <si>
    <t>S-Girl-92</t>
  </si>
  <si>
    <t>S-Girl-93</t>
  </si>
  <si>
    <t>S-Girl-94</t>
  </si>
  <si>
    <t>S-Girl-95</t>
  </si>
  <si>
    <t>S-Girl-96</t>
  </si>
  <si>
    <t>S-Girl-97</t>
  </si>
  <si>
    <t>S-Girl-98</t>
  </si>
  <si>
    <t>S-Girl-99</t>
  </si>
  <si>
    <t>S-Girl-100</t>
  </si>
  <si>
    <t>S-Girl-101</t>
  </si>
  <si>
    <t>S-Girl-102</t>
  </si>
  <si>
    <t>S-Girl-103</t>
  </si>
  <si>
    <t>S-Girl-104</t>
  </si>
  <si>
    <t>S-Girl-105</t>
  </si>
  <si>
    <t>S-Girl-106</t>
  </si>
  <si>
    <t>S-Girl-107</t>
  </si>
  <si>
    <t>S-Girl-108</t>
  </si>
  <si>
    <t>S-Girl-109</t>
  </si>
  <si>
    <t>S-Girl-110</t>
  </si>
  <si>
    <t>S-Girl-111</t>
  </si>
  <si>
    <t>S-Girl-112</t>
  </si>
  <si>
    <t>S-Girl-113</t>
  </si>
  <si>
    <t>S-Girl-114</t>
  </si>
  <si>
    <t>S-Girl-115</t>
  </si>
  <si>
    <t>S-Girl-116</t>
  </si>
  <si>
    <t>S-Girl-117</t>
  </si>
  <si>
    <t>S-Girl-118</t>
  </si>
  <si>
    <t>S-Girl-119</t>
  </si>
  <si>
    <t>S-Girl-120</t>
  </si>
  <si>
    <t>S-Girl-121</t>
  </si>
  <si>
    <t>S-Girl-122</t>
  </si>
  <si>
    <t>S-Girl-123</t>
  </si>
  <si>
    <t>S-Girl-124</t>
  </si>
  <si>
    <t>S-Girl-125</t>
  </si>
  <si>
    <t>S-Girl-126</t>
  </si>
  <si>
    <t>S-Girl-127</t>
  </si>
  <si>
    <t>S-Girl-128</t>
  </si>
  <si>
    <t>S-Girl-129</t>
  </si>
  <si>
    <t>S-Girl-130</t>
  </si>
  <si>
    <t>S-Girl-131</t>
  </si>
  <si>
    <t>S-Girl-132</t>
  </si>
  <si>
    <t>S-Girl-133</t>
  </si>
  <si>
    <t>S-Girl-134</t>
  </si>
  <si>
    <t>S-Girl-135</t>
  </si>
  <si>
    <t>S-Girl-136</t>
  </si>
  <si>
    <t>S-Girl-137</t>
  </si>
  <si>
    <t>S-Girl-138</t>
  </si>
  <si>
    <t>S-Girl-139</t>
  </si>
  <si>
    <t>S-Girl-140</t>
  </si>
  <si>
    <t>S-Girl-141</t>
  </si>
  <si>
    <t>S-Girl-142</t>
  </si>
  <si>
    <t>S-Girl-143</t>
  </si>
  <si>
    <t>S-Girl-144</t>
  </si>
  <si>
    <t>S-Girl-145</t>
  </si>
  <si>
    <t>S-Girl-146</t>
  </si>
  <si>
    <t>S-Girl-147</t>
  </si>
  <si>
    <t>S-Girl-148</t>
  </si>
  <si>
    <t>S-Girl-149</t>
  </si>
  <si>
    <t>S-Girl-150</t>
  </si>
  <si>
    <t>S-Girl-151</t>
  </si>
  <si>
    <t>S-Girl-152</t>
  </si>
  <si>
    <t>S-Girl-153</t>
  </si>
  <si>
    <t>S-Girl-154</t>
  </si>
  <si>
    <t>S-Girl-155</t>
  </si>
  <si>
    <t>S-Girl-156</t>
  </si>
  <si>
    <t>S-Girl-157</t>
  </si>
  <si>
    <t>S-Girl-158</t>
  </si>
  <si>
    <t>S-Girl-159</t>
  </si>
  <si>
    <t>S-Girl-160</t>
  </si>
  <si>
    <t>S-Girl-161</t>
  </si>
  <si>
    <t>S-Girl-162</t>
  </si>
  <si>
    <t>S-Girl-163</t>
  </si>
  <si>
    <t>S-Girl-164</t>
  </si>
  <si>
    <t>S-Girl-165</t>
  </si>
  <si>
    <t>S-Girl-166</t>
  </si>
  <si>
    <t>S-Girl-167</t>
  </si>
  <si>
    <t>S-Girl-168</t>
  </si>
  <si>
    <t>S-Girl-169</t>
  </si>
  <si>
    <t>S-Girl-170</t>
  </si>
  <si>
    <t>S-Girl-171</t>
  </si>
  <si>
    <t>S-Girl-172</t>
  </si>
  <si>
    <t>S-Girl-173</t>
  </si>
  <si>
    <t>S-Girl-174</t>
  </si>
  <si>
    <t>S-Girl-175</t>
  </si>
  <si>
    <t>S-Girl-176</t>
  </si>
  <si>
    <t>S-Girl-177</t>
  </si>
  <si>
    <t>S-Girl-178</t>
  </si>
  <si>
    <t>S-Girl-179</t>
  </si>
  <si>
    <t>S-Girl-180</t>
  </si>
  <si>
    <t>S-Girl-181</t>
  </si>
  <si>
    <t>S-Girl-182</t>
  </si>
  <si>
    <t>S-Girl-183</t>
  </si>
  <si>
    <t>S-Girl-184</t>
  </si>
  <si>
    <t>S-Girl-185</t>
  </si>
  <si>
    <t>S-Girl-186</t>
  </si>
  <si>
    <t>S-Girl-187</t>
  </si>
  <si>
    <t>S-Girl-188</t>
  </si>
  <si>
    <t>S-Girl-189</t>
  </si>
  <si>
    <t>S-Girl-190</t>
  </si>
  <si>
    <t>S-Girl-191</t>
  </si>
  <si>
    <t>S-Girl-192</t>
  </si>
  <si>
    <t>S-Girl-193</t>
  </si>
  <si>
    <t>S-Girl-194</t>
  </si>
  <si>
    <t>S-Girl-195</t>
  </si>
  <si>
    <t>S-Girl-196</t>
  </si>
  <si>
    <t>S-Girl-197</t>
  </si>
  <si>
    <t>S-Girl-198</t>
  </si>
  <si>
    <t>S-Girl-199</t>
  </si>
  <si>
    <t>S-Girl-200</t>
  </si>
  <si>
    <t>S-Girl-201</t>
  </si>
  <si>
    <t>S-Girl-202</t>
  </si>
  <si>
    <t>S-Girl-203</t>
  </si>
  <si>
    <t>S-Girl-204</t>
  </si>
  <si>
    <t>S-Girl-205</t>
  </si>
  <si>
    <t>S-Girl-206</t>
  </si>
  <si>
    <t>S-Girl-207</t>
  </si>
  <si>
    <t>S-Girl-208</t>
  </si>
  <si>
    <t>S-Girl-209</t>
  </si>
  <si>
    <t>S-Girl-210</t>
  </si>
  <si>
    <t>S-Girl-211</t>
  </si>
  <si>
    <t>S-Girl-212</t>
  </si>
  <si>
    <t>S-Girl-213</t>
  </si>
  <si>
    <t>S-Girl-214</t>
  </si>
  <si>
    <t>S-Girl-215</t>
  </si>
  <si>
    <t>S-Girl-216</t>
  </si>
  <si>
    <t>S-Girl-217</t>
  </si>
  <si>
    <t>S-Girl-218</t>
  </si>
  <si>
    <t>S-Girl-219</t>
  </si>
  <si>
    <t>S-Girl-220</t>
  </si>
  <si>
    <t>S-Girl-221</t>
  </si>
  <si>
    <t>S-Girl-222</t>
  </si>
  <si>
    <t>S-Girl-223</t>
  </si>
  <si>
    <t>S-Girl-224</t>
  </si>
  <si>
    <t>S-Girl-225</t>
  </si>
  <si>
    <t>S-Girl-226</t>
  </si>
  <si>
    <t>S-Girl-227</t>
  </si>
  <si>
    <t>S-Girl-228</t>
  </si>
  <si>
    <t>S-Girl-229</t>
  </si>
  <si>
    <t>S-Girl-230</t>
  </si>
  <si>
    <t>S-Girl-231</t>
  </si>
  <si>
    <t>S-Girl-232</t>
  </si>
  <si>
    <t>S-Girl-233</t>
  </si>
  <si>
    <t>S-Girl-234</t>
  </si>
  <si>
    <t>S-Girl-235</t>
  </si>
  <si>
    <t>S-Girl-236</t>
  </si>
  <si>
    <t>S-Girl-237</t>
  </si>
  <si>
    <t>S-Girl-238</t>
  </si>
  <si>
    <t>S-Girl-239</t>
  </si>
  <si>
    <t>S-Girl-240</t>
  </si>
  <si>
    <t>S-Girl-241</t>
  </si>
  <si>
    <t>S-Girl-242</t>
  </si>
  <si>
    <t>S-Girl-243</t>
  </si>
  <si>
    <t>S-Girl-244</t>
  </si>
  <si>
    <t>S-Girl-245</t>
  </si>
  <si>
    <t>S-Girl-246</t>
  </si>
  <si>
    <t>S-Girl-247</t>
  </si>
  <si>
    <t>S-Girl-248</t>
  </si>
  <si>
    <t>S-Girl-249</t>
  </si>
  <si>
    <t>S-Girl-250</t>
  </si>
  <si>
    <t>S-Girl-251</t>
  </si>
  <si>
    <t>S-Girl-252</t>
  </si>
  <si>
    <t>S-Girl-253</t>
  </si>
  <si>
    <t>S-Girl-254</t>
  </si>
  <si>
    <t>S-Girl-255</t>
  </si>
  <si>
    <t>S-Girl-256</t>
  </si>
  <si>
    <t>S-Girl-257</t>
  </si>
  <si>
    <t>S-Girl-258</t>
  </si>
  <si>
    <t>S-Girl-259</t>
  </si>
  <si>
    <t>S-Girl-260</t>
  </si>
  <si>
    <t>S-Girl-261</t>
  </si>
  <si>
    <t>S-Girl-262</t>
  </si>
  <si>
    <t>S-Girl-263</t>
  </si>
  <si>
    <t>S-Girl-264</t>
  </si>
  <si>
    <t>S-Girl-265</t>
  </si>
  <si>
    <t>S-Girl-266</t>
  </si>
  <si>
    <t>S-Girl-267</t>
  </si>
  <si>
    <t>S-Girl-268</t>
  </si>
  <si>
    <t>S-Girl-269</t>
  </si>
  <si>
    <t>S-Girl-270</t>
  </si>
  <si>
    <t>S-Girl-271</t>
  </si>
  <si>
    <t>S-Girl-272</t>
  </si>
  <si>
    <t>S-Girl-273</t>
  </si>
  <si>
    <t>S-Girl-274</t>
  </si>
  <si>
    <t>S-Girl-275</t>
  </si>
  <si>
    <t>S-Girl-276</t>
  </si>
  <si>
    <t>S-Girl-277</t>
  </si>
  <si>
    <t>S-Girl-278</t>
  </si>
  <si>
    <t>S-Girl-279</t>
  </si>
  <si>
    <t>S-Girl-280</t>
  </si>
  <si>
    <t>S-Girl-281</t>
  </si>
  <si>
    <t>S-Girl-282</t>
  </si>
  <si>
    <t>S-Girl-283</t>
  </si>
  <si>
    <t>S-Girl-284</t>
  </si>
  <si>
    <t>S-Girl-285</t>
  </si>
  <si>
    <t>S-Girl-286</t>
  </si>
  <si>
    <t>S-Girl-287</t>
  </si>
  <si>
    <t>S-Girl-288</t>
  </si>
  <si>
    <t>S-Girl-289</t>
  </si>
  <si>
    <t>S-Girl-290</t>
  </si>
  <si>
    <t>S-Girl-291</t>
  </si>
  <si>
    <t>S-Girl-292</t>
  </si>
  <si>
    <t>S-Girl-293</t>
  </si>
  <si>
    <t>S-Girl-294</t>
  </si>
  <si>
    <t>S-Girl-295</t>
  </si>
  <si>
    <t>S-Girl-296</t>
  </si>
  <si>
    <t>S-Girl-297</t>
  </si>
  <si>
    <t>S-Girl-298</t>
  </si>
  <si>
    <t>S-Girl-299</t>
  </si>
  <si>
    <t>S-Girl-300</t>
  </si>
  <si>
    <t>S-Girl-301</t>
  </si>
  <si>
    <t>S-Girl-302</t>
  </si>
  <si>
    <t>S-Girl-303</t>
  </si>
  <si>
    <t>S-Girl-304</t>
  </si>
  <si>
    <t>S-Girl-305</t>
  </si>
  <si>
    <t>S-Girl-306</t>
  </si>
  <si>
    <t>S-Girl-307</t>
  </si>
  <si>
    <t>S-Girl-308</t>
  </si>
  <si>
    <t>S-Girl-309</t>
  </si>
  <si>
    <t>S-Girl-310</t>
  </si>
  <si>
    <t>S-Girl-311</t>
  </si>
  <si>
    <t>S-Girl-312</t>
  </si>
  <si>
    <t>S-Girl-313</t>
  </si>
  <si>
    <t>S-Girl-314</t>
  </si>
  <si>
    <t>S-Girl-315</t>
  </si>
  <si>
    <t>S-Girl-316</t>
  </si>
  <si>
    <t>S-Girl-317</t>
  </si>
  <si>
    <t>S-Girl-318</t>
  </si>
  <si>
    <t>S-Girl-319</t>
  </si>
  <si>
    <t>S-Girl-320</t>
  </si>
  <si>
    <t>S-Girl-321</t>
  </si>
  <si>
    <t>S-Girl-322</t>
  </si>
  <si>
    <t>S-Girl-323</t>
  </si>
  <si>
    <t>S-Girl-324</t>
  </si>
  <si>
    <t>S-Girl-325</t>
  </si>
  <si>
    <t>S-Girl-326</t>
  </si>
  <si>
    <t>S-Girl-327</t>
  </si>
  <si>
    <t>S-Girl-328</t>
  </si>
  <si>
    <t>S-Girl-329</t>
  </si>
  <si>
    <t>S-Girl-330</t>
  </si>
  <si>
    <t>S-Girl-331</t>
  </si>
  <si>
    <t>S-Girl-332</t>
  </si>
  <si>
    <t>S-Girl-333</t>
  </si>
  <si>
    <t>S-Girl-334</t>
  </si>
  <si>
    <t>S-Girl-335</t>
  </si>
  <si>
    <t>S-Girl-336</t>
  </si>
  <si>
    <t>S-Girl-337</t>
  </si>
  <si>
    <t>S-Girl-338</t>
  </si>
  <si>
    <t>S-Girl-339</t>
  </si>
  <si>
    <t>S-Girl-340</t>
  </si>
  <si>
    <t>S-Girl-341</t>
  </si>
  <si>
    <t>S-Girl-342</t>
  </si>
  <si>
    <t>S-Girl-343</t>
  </si>
  <si>
    <t>S-Girl-344</t>
  </si>
  <si>
    <t>S-Girl-345</t>
  </si>
  <si>
    <t>S-Girl-346</t>
  </si>
  <si>
    <t>S-Girl-347</t>
  </si>
  <si>
    <t>S-Girl-348</t>
  </si>
  <si>
    <t>S-Girl-349</t>
  </si>
  <si>
    <t>S-Girl-350</t>
  </si>
  <si>
    <t>S-Girl-351</t>
  </si>
  <si>
    <t>S-Girl-352</t>
  </si>
  <si>
    <t>S-Girl-353</t>
  </si>
  <si>
    <t>S-Girl-354</t>
  </si>
  <si>
    <t>S-Girl-355</t>
  </si>
  <si>
    <t>S-Girl-356</t>
  </si>
  <si>
    <t>S-Girl-357</t>
  </si>
  <si>
    <t>S-Girl-358</t>
  </si>
  <si>
    <t>S-Girl-359</t>
  </si>
  <si>
    <t>S-Girl-360</t>
  </si>
  <si>
    <t>S-Girl-361</t>
  </si>
  <si>
    <t>S-Girl-362</t>
  </si>
  <si>
    <t>S-Girl-363</t>
  </si>
  <si>
    <t>S-Girl-364</t>
  </si>
  <si>
    <t>S-Girl-365</t>
  </si>
  <si>
    <t>S-Girl-366</t>
  </si>
  <si>
    <t>S-Girl-367</t>
  </si>
  <si>
    <t>S-Girl-368</t>
  </si>
  <si>
    <t>S-Girl-369</t>
  </si>
  <si>
    <t>S-Girl-370</t>
  </si>
  <si>
    <t>S-Girl-371</t>
  </si>
  <si>
    <t>S-Girl-372</t>
  </si>
  <si>
    <t>S-Girl-373</t>
  </si>
  <si>
    <t>S-Girl-374</t>
  </si>
  <si>
    <t>S-Girl-375</t>
  </si>
  <si>
    <t>S-Girl-376</t>
  </si>
  <si>
    <t>S-Girl-377</t>
  </si>
  <si>
    <t>S-Girl-378</t>
  </si>
  <si>
    <t>S-Girl-379</t>
  </si>
  <si>
    <t>S-Girl-380</t>
  </si>
  <si>
    <t>S-Girl-381</t>
  </si>
  <si>
    <t>S-Girl-382</t>
  </si>
  <si>
    <t>S-Girl-383</t>
  </si>
  <si>
    <t>S-Girl-384</t>
  </si>
  <si>
    <t>S-Girl-385</t>
  </si>
  <si>
    <t>S-Girl-386</t>
  </si>
  <si>
    <t>S-Girl-387</t>
  </si>
  <si>
    <t>S-Girl-388</t>
  </si>
  <si>
    <t>S-Girl-389</t>
  </si>
  <si>
    <t>S-Girl-390</t>
  </si>
  <si>
    <t>S-Girl-391</t>
  </si>
  <si>
    <t>S-Girl-392</t>
  </si>
  <si>
    <t>S-Girl-393</t>
  </si>
  <si>
    <t>S-Girl-394</t>
  </si>
  <si>
    <t>S-Girl-395</t>
  </si>
  <si>
    <t>S-Girl-396</t>
  </si>
  <si>
    <t>S-Girl-397</t>
  </si>
  <si>
    <t>S-Girl-398</t>
  </si>
  <si>
    <t>S-Girl-399</t>
  </si>
  <si>
    <t>S-Girl-400</t>
  </si>
  <si>
    <t>Tie Breaker</t>
  </si>
  <si>
    <r>
      <t xml:space="preserve">For more information on the </t>
    </r>
    <r>
      <rPr>
        <b/>
        <sz val="16"/>
        <color indexed="30"/>
        <rFont val="Arial"/>
        <family val="2"/>
      </rPr>
      <t xml:space="preserve">Sportshall </t>
    </r>
    <r>
      <rPr>
        <sz val="16"/>
        <color indexed="30"/>
        <rFont val="Arial"/>
        <family val="2"/>
      </rPr>
      <t xml:space="preserve">pathway go to </t>
    </r>
    <r>
      <rPr>
        <b/>
        <sz val="16"/>
        <color indexed="30"/>
        <rFont val="Arial"/>
        <family val="2"/>
      </rPr>
      <t>www.sportshall.org</t>
    </r>
  </si>
  <si>
    <r>
      <t xml:space="preserve">Sportshall Parallel                      Team Challenge                                         </t>
    </r>
    <r>
      <rPr>
        <sz val="20"/>
        <color indexed="30"/>
        <rFont val="Arial"/>
        <family val="2"/>
      </rPr>
      <t>Team Scores</t>
    </r>
  </si>
  <si>
    <t>Sportshall Parallel                      Team Challenge                                         Team Scores</t>
  </si>
  <si>
    <r>
      <t xml:space="preserve">Sportshall Parallel                      Team Challenge                                         </t>
    </r>
    <r>
      <rPr>
        <sz val="20"/>
        <color indexed="30"/>
        <rFont val="Arial"/>
        <family val="2"/>
      </rPr>
      <t>Relays</t>
    </r>
  </si>
  <si>
    <r>
      <t xml:space="preserve">Sportshall Parallel Team Challenge                                         </t>
    </r>
    <r>
      <rPr>
        <sz val="20"/>
        <color indexed="30"/>
        <rFont val="Arial"/>
        <family val="2"/>
      </rPr>
      <t>Input</t>
    </r>
  </si>
  <si>
    <t>Competition</t>
  </si>
  <si>
    <t>Number of Scorers</t>
  </si>
  <si>
    <r>
      <t xml:space="preserve">Sportshall Parallel Team Challenge                                         </t>
    </r>
    <r>
      <rPr>
        <sz val="20"/>
        <color indexed="30"/>
        <rFont val="Arial"/>
        <family val="2"/>
      </rPr>
      <t>Competition Menu</t>
    </r>
  </si>
  <si>
    <t xml:space="preserve">A maximum of 20 teams can be entered in the competition.                                                                                                                                                         Please ensure that there are enough results entered for the specified number of teams                                                                                                                                                        A minimum of the best 4 and a maximum of the best 10 competitors scores can be specified to count towards the overall team score.                                                                                                                                                                                       Please ensure that each team has at least the same number of performances entered for each scored event as the specified number of scoring competitors.                                                                                                                                                                                                                                    </t>
  </si>
  <si>
    <t>Big Sportshall, Any Town</t>
  </si>
  <si>
    <t>Any Town Partnership Final</t>
  </si>
  <si>
    <t>Suggested Event Adaptations</t>
  </si>
  <si>
    <t>Brief description of some athletes                        and impairments in this group</t>
  </si>
  <si>
    <t>Sportshall Parallel</t>
  </si>
  <si>
    <t>Team Challenge</t>
  </si>
  <si>
    <t>Guide</t>
  </si>
  <si>
    <t xml:space="preserve">1. Calculate individual point scores for each event and Individuals Award Levels                                                                                                                                               </t>
  </si>
  <si>
    <t>2. Calculate Parallel Team Challenge competition scores for up to 20 teams of 12 participants.</t>
  </si>
  <si>
    <t xml:space="preserve">This sheet enables the set up of a Parallel Team Challenge. </t>
  </si>
  <si>
    <r>
      <t xml:space="preserve">The Sportshall Team welcome comments on all aspects of its work. Please contact us via email to </t>
    </r>
    <r>
      <rPr>
        <b/>
        <sz val="11"/>
        <color indexed="30"/>
        <rFont val="Arial"/>
        <family val="2"/>
      </rPr>
      <t>team@sportshall.org</t>
    </r>
    <r>
      <rPr>
        <sz val="11"/>
        <color indexed="30"/>
        <rFont val="Arial"/>
        <family val="2"/>
      </rPr>
      <t xml:space="preserve"> For equipment and certificates, visit: </t>
    </r>
    <r>
      <rPr>
        <b/>
        <u/>
        <sz val="11"/>
        <color indexed="30"/>
        <rFont val="Arial"/>
        <family val="2"/>
      </rPr>
      <t xml:space="preserve">http://www.eveque.co.uk </t>
    </r>
  </si>
  <si>
    <t>SPORTSHALL PARALLEL</t>
  </si>
  <si>
    <t>YEAR GROUP</t>
  </si>
  <si>
    <t>GENDER</t>
  </si>
  <si>
    <t>DISABILITY GROUP</t>
  </si>
  <si>
    <t>No</t>
  </si>
  <si>
    <t>TEAM NAME</t>
  </si>
  <si>
    <t>Results should be entered in these formats</t>
  </si>
  <si>
    <t xml:space="preserve">New version for the 2017 / 2018 academic year, this document provides the teacher, coach or leader with all the tools to:                                                               </t>
  </si>
  <si>
    <t>1st October 2017</t>
  </si>
  <si>
    <t>Initials</t>
  </si>
  <si>
    <t xml:space="preserve">Sportshall Associates take the protection of data provided to us seriously and will do everything possible to ensure data is stored and maintained in accordance with UK data protection legislation. Please read the Privacy Notice (available at www.sportshall.org) to see how we will treat the personal information provided to us. </t>
  </si>
  <si>
    <t>INITIALS</t>
  </si>
  <si>
    <t xml:space="preserve">SPORTSHALL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</si>
</sst>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809]dd\ mmmm\ yyyy;@"/>
    <numFmt numFmtId="165" formatCode="0.0"/>
  </numFmts>
  <fonts count="66" x14ac:knownFonts="1">
    <font>
      <sz val="10"/>
      <name val="Arial"/>
    </font>
    <font>
      <sz val="10"/>
      <name val="Arial"/>
      <family val="2"/>
    </font>
    <font>
      <sz val="10"/>
      <name val="Arial"/>
      <family val="2"/>
    </font>
    <font>
      <u/>
      <sz val="7"/>
      <color indexed="12"/>
      <name val="Arial"/>
      <family val="2"/>
    </font>
    <font>
      <sz val="8"/>
      <color indexed="81"/>
      <name val="Tahoma"/>
      <family val="2"/>
    </font>
    <font>
      <b/>
      <sz val="8"/>
      <color indexed="81"/>
      <name val="Tahoma"/>
      <family val="2"/>
    </font>
    <font>
      <sz val="10"/>
      <name val="Verdana"/>
      <family val="2"/>
    </font>
    <font>
      <sz val="10"/>
      <color indexed="9"/>
      <name val="Arial"/>
      <family val="2"/>
    </font>
    <font>
      <b/>
      <sz val="16"/>
      <color indexed="30"/>
      <name val="Arial"/>
      <family val="2"/>
    </font>
    <font>
      <sz val="10"/>
      <color indexed="30"/>
      <name val="Arial"/>
      <family val="2"/>
    </font>
    <font>
      <b/>
      <sz val="20"/>
      <color indexed="30"/>
      <name val="Arial"/>
      <family val="2"/>
    </font>
    <font>
      <sz val="20"/>
      <color indexed="30"/>
      <name val="Arial"/>
      <family val="2"/>
    </font>
    <font>
      <b/>
      <sz val="14"/>
      <color indexed="30"/>
      <name val="Arial"/>
      <family val="2"/>
    </font>
    <font>
      <b/>
      <sz val="14"/>
      <color indexed="13"/>
      <name val="Arial"/>
      <family val="2"/>
    </font>
    <font>
      <b/>
      <sz val="10"/>
      <color indexed="13"/>
      <name val="Arial"/>
      <family val="2"/>
    </font>
    <font>
      <b/>
      <sz val="14"/>
      <color indexed="62"/>
      <name val="Arial"/>
      <family val="2"/>
    </font>
    <font>
      <b/>
      <sz val="28"/>
      <color indexed="30"/>
      <name val="Arial"/>
      <family val="2"/>
    </font>
    <font>
      <b/>
      <sz val="26"/>
      <color indexed="13"/>
      <name val="Arial"/>
      <family val="2"/>
    </font>
    <font>
      <b/>
      <sz val="26"/>
      <color indexed="13"/>
      <name val="Arial"/>
      <family val="2"/>
    </font>
    <font>
      <b/>
      <sz val="26"/>
      <color indexed="30"/>
      <name val="Arial"/>
      <family val="2"/>
    </font>
    <font>
      <b/>
      <sz val="10"/>
      <color indexed="9"/>
      <name val="Arial"/>
      <family val="2"/>
    </font>
    <font>
      <sz val="16"/>
      <color indexed="30"/>
      <name val="Arial"/>
      <family val="2"/>
    </font>
    <font>
      <sz val="9"/>
      <color indexed="81"/>
      <name val="Tahoma"/>
      <family val="2"/>
    </font>
    <font>
      <sz val="11"/>
      <color indexed="48"/>
      <name val="Arial"/>
      <family val="2"/>
    </font>
    <font>
      <sz val="11"/>
      <name val="Arial"/>
      <family val="2"/>
    </font>
    <font>
      <u/>
      <sz val="11"/>
      <color indexed="12"/>
      <name val="Arial"/>
      <family val="2"/>
    </font>
    <font>
      <sz val="14"/>
      <color indexed="30"/>
      <name val="Arial"/>
      <family val="2"/>
    </font>
    <font>
      <sz val="11"/>
      <color indexed="30"/>
      <name val="Arial"/>
      <family val="2"/>
    </font>
    <font>
      <b/>
      <sz val="11"/>
      <color indexed="30"/>
      <name val="Arial"/>
      <family val="2"/>
    </font>
    <font>
      <b/>
      <u/>
      <sz val="11"/>
      <color indexed="30"/>
      <name val="Arial"/>
      <family val="2"/>
    </font>
    <font>
      <u/>
      <sz val="12"/>
      <color indexed="12"/>
      <name val="Arial"/>
      <family val="2"/>
    </font>
    <font>
      <sz val="11"/>
      <color indexed="12"/>
      <name val="Arial"/>
      <family val="2"/>
    </font>
    <font>
      <u/>
      <sz val="10"/>
      <color indexed="12"/>
      <name val="Arial"/>
      <family val="2"/>
    </font>
    <font>
      <sz val="9"/>
      <name val="Arial"/>
      <family val="2"/>
    </font>
    <font>
      <sz val="8"/>
      <name val="Arial"/>
      <family val="2"/>
    </font>
    <font>
      <sz val="12"/>
      <name val="Arial"/>
      <family val="2"/>
    </font>
    <font>
      <sz val="14"/>
      <name val="Arial"/>
      <family val="2"/>
    </font>
    <font>
      <b/>
      <sz val="13"/>
      <color indexed="30"/>
      <name val="Arial"/>
      <family val="2"/>
    </font>
    <font>
      <sz val="11"/>
      <color theme="1"/>
      <name val="Calibri"/>
      <family val="2"/>
      <scheme val="minor"/>
    </font>
    <font>
      <sz val="10"/>
      <color rgb="FF0070C0"/>
      <name val="Cambria"/>
      <family val="1"/>
    </font>
    <font>
      <b/>
      <sz val="10"/>
      <color rgb="FF0070C0"/>
      <name val="Cambria"/>
      <family val="1"/>
    </font>
    <font>
      <sz val="14"/>
      <color rgb="FF0070C0"/>
      <name val="Arial"/>
      <family val="2"/>
    </font>
    <font>
      <b/>
      <sz val="14"/>
      <color rgb="FF0070C0"/>
      <name val="Arial"/>
      <family val="2"/>
    </font>
    <font>
      <b/>
      <sz val="12"/>
      <color rgb="FF0070C0"/>
      <name val="Arial"/>
      <family val="2"/>
    </font>
    <font>
      <sz val="12"/>
      <color rgb="FF0070C0"/>
      <name val="Arial"/>
      <family val="2"/>
    </font>
    <font>
      <sz val="11"/>
      <color rgb="FF0070C0"/>
      <name val="Arial"/>
      <family val="2"/>
    </font>
    <font>
      <sz val="10"/>
      <color rgb="FF0070C0"/>
      <name val="Arial"/>
      <family val="2"/>
    </font>
    <font>
      <b/>
      <sz val="10"/>
      <color rgb="FF0070C0"/>
      <name val="Arial"/>
      <family val="2"/>
    </font>
    <font>
      <b/>
      <sz val="10"/>
      <color theme="0"/>
      <name val="Arial"/>
      <family val="2"/>
    </font>
    <font>
      <sz val="12"/>
      <color rgb="FFFFFF99"/>
      <name val="Cambria"/>
      <family val="1"/>
    </font>
    <font>
      <sz val="10"/>
      <color rgb="FFFFFF99"/>
      <name val="Cambria"/>
      <family val="1"/>
    </font>
    <font>
      <sz val="11"/>
      <color theme="4"/>
      <name val="Arial"/>
      <family val="2"/>
    </font>
    <font>
      <sz val="10"/>
      <color theme="4"/>
      <name val="Arial"/>
      <family val="2"/>
    </font>
    <font>
      <sz val="12"/>
      <color theme="4"/>
      <name val="Arial"/>
      <family val="2"/>
    </font>
    <font>
      <b/>
      <sz val="20"/>
      <color rgb="FF0070C0"/>
      <name val="Arial"/>
      <family val="2"/>
    </font>
    <font>
      <sz val="10"/>
      <color theme="0"/>
      <name val="Arial"/>
      <family val="2"/>
    </font>
    <font>
      <b/>
      <sz val="14"/>
      <color theme="0"/>
      <name val="Arial"/>
      <family val="2"/>
    </font>
    <font>
      <b/>
      <sz val="13"/>
      <color rgb="FF0070C0"/>
      <name val="Arial"/>
      <family val="2"/>
    </font>
    <font>
      <sz val="9"/>
      <color rgb="FF0070C0"/>
      <name val="Arial"/>
      <family val="2"/>
    </font>
    <font>
      <b/>
      <sz val="14"/>
      <color theme="4"/>
      <name val="Arial"/>
      <family val="2"/>
    </font>
    <font>
      <sz val="20"/>
      <color rgb="FF0070C0"/>
      <name val="Arial"/>
      <family val="2"/>
    </font>
    <font>
      <sz val="12"/>
      <color theme="0"/>
      <name val="Arial"/>
      <family val="2"/>
    </font>
    <font>
      <b/>
      <sz val="12"/>
      <color theme="0"/>
      <name val="Arial"/>
      <family val="2"/>
    </font>
    <font>
      <b/>
      <sz val="16"/>
      <color rgb="FF0070C0"/>
      <name val="Arial"/>
      <family val="2"/>
    </font>
    <font>
      <sz val="16"/>
      <color rgb="FF0070C0"/>
      <name val="Arial"/>
      <family val="2"/>
    </font>
    <font>
      <sz val="18"/>
      <color rgb="FF0070C0"/>
      <name val="Arial"/>
      <family val="2"/>
    </font>
  </fonts>
  <fills count="9">
    <fill>
      <patternFill patternType="none"/>
    </fill>
    <fill>
      <patternFill patternType="gray125"/>
    </fill>
    <fill>
      <patternFill patternType="solid">
        <fgColor indexed="30"/>
        <bgColor indexed="64"/>
      </patternFill>
    </fill>
    <fill>
      <patternFill patternType="solid">
        <fgColor indexed="9"/>
        <bgColor indexed="64"/>
      </patternFill>
    </fill>
    <fill>
      <patternFill patternType="solid">
        <fgColor indexed="43"/>
        <bgColor indexed="64"/>
      </patternFill>
    </fill>
    <fill>
      <patternFill patternType="solid">
        <fgColor rgb="FF0070C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s>
  <borders count="212">
    <border>
      <left/>
      <right/>
      <top/>
      <bottom/>
      <diagonal/>
    </border>
    <border>
      <left/>
      <right/>
      <top/>
      <bottom style="medium">
        <color indexed="30"/>
      </bottom>
      <diagonal/>
    </border>
    <border>
      <left/>
      <right/>
      <top/>
      <bottom style="thick">
        <color indexed="64"/>
      </bottom>
      <diagonal/>
    </border>
    <border>
      <left style="thick">
        <color indexed="30"/>
      </left>
      <right/>
      <top style="medium">
        <color indexed="9"/>
      </top>
      <bottom style="medium">
        <color indexed="9"/>
      </bottom>
      <diagonal/>
    </border>
    <border>
      <left/>
      <right style="medium">
        <color indexed="30"/>
      </right>
      <top style="thick">
        <color indexed="30"/>
      </top>
      <bottom style="medium">
        <color indexed="64"/>
      </bottom>
      <diagonal/>
    </border>
    <border>
      <left style="medium">
        <color indexed="30"/>
      </left>
      <right style="medium">
        <color indexed="30"/>
      </right>
      <top style="medium">
        <color indexed="30"/>
      </top>
      <bottom style="thin">
        <color indexed="30"/>
      </bottom>
      <diagonal/>
    </border>
    <border>
      <left style="medium">
        <color indexed="30"/>
      </left>
      <right style="medium">
        <color indexed="30"/>
      </right>
      <top style="thin">
        <color indexed="30"/>
      </top>
      <bottom style="medium">
        <color indexed="30"/>
      </bottom>
      <diagonal/>
    </border>
    <border>
      <left/>
      <right style="medium">
        <color indexed="30"/>
      </right>
      <top style="medium">
        <color indexed="30"/>
      </top>
      <bottom style="thin">
        <color indexed="30"/>
      </bottom>
      <diagonal/>
    </border>
    <border>
      <left/>
      <right style="medium">
        <color indexed="30"/>
      </right>
      <top style="thin">
        <color indexed="30"/>
      </top>
      <bottom style="medium">
        <color indexed="30"/>
      </bottom>
      <diagonal/>
    </border>
    <border>
      <left style="medium">
        <color indexed="30"/>
      </left>
      <right style="thin">
        <color indexed="30"/>
      </right>
      <top style="medium">
        <color indexed="30"/>
      </top>
      <bottom style="thin">
        <color indexed="30"/>
      </bottom>
      <diagonal/>
    </border>
    <border>
      <left style="medium">
        <color indexed="30"/>
      </left>
      <right style="thin">
        <color indexed="30"/>
      </right>
      <top style="thin">
        <color indexed="30"/>
      </top>
      <bottom style="medium">
        <color indexed="30"/>
      </bottom>
      <diagonal/>
    </border>
    <border>
      <left style="medium">
        <color indexed="9"/>
      </left>
      <right style="medium">
        <color indexed="9"/>
      </right>
      <top style="medium">
        <color indexed="48"/>
      </top>
      <bottom style="medium">
        <color indexed="48"/>
      </bottom>
      <diagonal/>
    </border>
    <border>
      <left style="medium">
        <color indexed="9"/>
      </left>
      <right/>
      <top style="thick">
        <color indexed="30"/>
      </top>
      <bottom/>
      <diagonal/>
    </border>
    <border>
      <left/>
      <right style="medium">
        <color indexed="9"/>
      </right>
      <top style="thick">
        <color indexed="30"/>
      </top>
      <bottom/>
      <diagonal/>
    </border>
    <border>
      <left style="medium">
        <color indexed="9"/>
      </left>
      <right style="medium">
        <color indexed="9"/>
      </right>
      <top style="thick">
        <color indexed="30"/>
      </top>
      <bottom style="medium">
        <color indexed="30"/>
      </bottom>
      <diagonal/>
    </border>
    <border>
      <left/>
      <right/>
      <top style="thick">
        <color indexed="30"/>
      </top>
      <bottom/>
      <diagonal/>
    </border>
    <border>
      <left style="thick">
        <color indexed="30"/>
      </left>
      <right/>
      <top style="medium">
        <color indexed="9"/>
      </top>
      <bottom style="thick">
        <color indexed="30"/>
      </bottom>
      <diagonal/>
    </border>
    <border>
      <left style="thick">
        <color indexed="30"/>
      </left>
      <right style="thin">
        <color indexed="30"/>
      </right>
      <top/>
      <bottom style="thin">
        <color indexed="22"/>
      </bottom>
      <diagonal/>
    </border>
    <border>
      <left style="medium">
        <color indexed="30"/>
      </left>
      <right style="medium">
        <color indexed="30"/>
      </right>
      <top/>
      <bottom/>
      <diagonal/>
    </border>
    <border>
      <left style="medium">
        <color indexed="30"/>
      </left>
      <right style="thin">
        <color indexed="30"/>
      </right>
      <top/>
      <bottom style="thin">
        <color indexed="22"/>
      </bottom>
      <diagonal/>
    </border>
    <border>
      <left/>
      <right style="medium">
        <color indexed="30"/>
      </right>
      <top/>
      <bottom/>
      <diagonal/>
    </border>
    <border>
      <left style="thick">
        <color indexed="30"/>
      </left>
      <right style="thin">
        <color indexed="30"/>
      </right>
      <top style="thin">
        <color indexed="22"/>
      </top>
      <bottom style="thin">
        <color indexed="22"/>
      </bottom>
      <diagonal/>
    </border>
    <border>
      <left style="medium">
        <color indexed="30"/>
      </left>
      <right style="thin">
        <color indexed="30"/>
      </right>
      <top style="thin">
        <color indexed="22"/>
      </top>
      <bottom style="thin">
        <color indexed="22"/>
      </bottom>
      <diagonal/>
    </border>
    <border>
      <left style="thin">
        <color indexed="30"/>
      </left>
      <right style="medium">
        <color indexed="30"/>
      </right>
      <top style="thin">
        <color indexed="22"/>
      </top>
      <bottom style="thin">
        <color indexed="22"/>
      </bottom>
      <diagonal/>
    </border>
    <border>
      <left style="thin">
        <color indexed="30"/>
      </left>
      <right style="thin">
        <color indexed="30"/>
      </right>
      <top style="thin">
        <color indexed="22"/>
      </top>
      <bottom style="thin">
        <color indexed="22"/>
      </bottom>
      <diagonal/>
    </border>
    <border>
      <left style="thin">
        <color indexed="30"/>
      </left>
      <right style="thick">
        <color indexed="30"/>
      </right>
      <top style="thin">
        <color indexed="22"/>
      </top>
      <bottom style="thin">
        <color indexed="22"/>
      </bottom>
      <diagonal/>
    </border>
    <border>
      <left style="thick">
        <color indexed="30"/>
      </left>
      <right style="thin">
        <color indexed="30"/>
      </right>
      <top style="thin">
        <color indexed="22"/>
      </top>
      <bottom/>
      <diagonal/>
    </border>
    <border>
      <left style="thin">
        <color indexed="30"/>
      </left>
      <right style="medium">
        <color indexed="30"/>
      </right>
      <top style="thin">
        <color indexed="22"/>
      </top>
      <bottom/>
      <diagonal/>
    </border>
    <border>
      <left style="medium">
        <color indexed="30"/>
      </left>
      <right style="thin">
        <color indexed="30"/>
      </right>
      <top style="thin">
        <color indexed="22"/>
      </top>
      <bottom/>
      <diagonal/>
    </border>
    <border>
      <left style="thin">
        <color indexed="30"/>
      </left>
      <right style="thin">
        <color indexed="30"/>
      </right>
      <top style="thin">
        <color indexed="22"/>
      </top>
      <bottom/>
      <diagonal/>
    </border>
    <border>
      <left style="thin">
        <color indexed="30"/>
      </left>
      <right style="thick">
        <color indexed="30"/>
      </right>
      <top style="thin">
        <color indexed="22"/>
      </top>
      <bottom/>
      <diagonal/>
    </border>
    <border>
      <left/>
      <right/>
      <top style="thin">
        <color indexed="64"/>
      </top>
      <bottom/>
      <diagonal/>
    </border>
    <border>
      <left style="thick">
        <color indexed="30"/>
      </left>
      <right style="thin">
        <color indexed="30"/>
      </right>
      <top style="medium">
        <color indexed="30"/>
      </top>
      <bottom style="thin">
        <color indexed="22"/>
      </bottom>
      <diagonal/>
    </border>
    <border>
      <left style="medium">
        <color indexed="30"/>
      </left>
      <right style="medium">
        <color indexed="30"/>
      </right>
      <top style="medium">
        <color indexed="30"/>
      </top>
      <bottom/>
      <diagonal/>
    </border>
    <border>
      <left style="medium">
        <color indexed="30"/>
      </left>
      <right style="thin">
        <color indexed="30"/>
      </right>
      <top style="medium">
        <color indexed="30"/>
      </top>
      <bottom style="thin">
        <color indexed="22"/>
      </bottom>
      <diagonal/>
    </border>
    <border>
      <left/>
      <right style="medium">
        <color indexed="30"/>
      </right>
      <top style="medium">
        <color indexed="30"/>
      </top>
      <bottom/>
      <diagonal/>
    </border>
    <border>
      <left/>
      <right/>
      <top/>
      <bottom style="thin">
        <color indexed="64"/>
      </bottom>
      <diagonal/>
    </border>
    <border>
      <left style="thick">
        <color indexed="30"/>
      </left>
      <right style="thin">
        <color indexed="30"/>
      </right>
      <top style="thin">
        <color indexed="22"/>
      </top>
      <bottom style="medium">
        <color indexed="30"/>
      </bottom>
      <diagonal/>
    </border>
    <border>
      <left style="medium">
        <color indexed="30"/>
      </left>
      <right style="medium">
        <color indexed="30"/>
      </right>
      <top/>
      <bottom style="medium">
        <color indexed="30"/>
      </bottom>
      <diagonal/>
    </border>
    <border>
      <left style="medium">
        <color indexed="30"/>
      </left>
      <right style="thin">
        <color indexed="30"/>
      </right>
      <top style="thin">
        <color indexed="22"/>
      </top>
      <bottom style="medium">
        <color indexed="30"/>
      </bottom>
      <diagonal/>
    </border>
    <border>
      <left/>
      <right style="medium">
        <color indexed="30"/>
      </right>
      <top/>
      <bottom style="medium">
        <color indexed="30"/>
      </bottom>
      <diagonal/>
    </border>
    <border>
      <left style="thin">
        <color indexed="30"/>
      </left>
      <right style="medium">
        <color indexed="30"/>
      </right>
      <top/>
      <bottom style="thin">
        <color indexed="22"/>
      </bottom>
      <diagonal/>
    </border>
    <border>
      <left style="thin">
        <color indexed="30"/>
      </left>
      <right style="thin">
        <color indexed="30"/>
      </right>
      <top/>
      <bottom style="thin">
        <color indexed="22"/>
      </bottom>
      <diagonal/>
    </border>
    <border>
      <left style="thin">
        <color indexed="30"/>
      </left>
      <right style="thick">
        <color indexed="30"/>
      </right>
      <top/>
      <bottom style="thin">
        <color indexed="22"/>
      </bottom>
      <diagonal/>
    </border>
    <border>
      <left style="medium">
        <color indexed="30"/>
      </left>
      <right style="medium">
        <color indexed="30"/>
      </right>
      <top style="thin">
        <color indexed="64"/>
      </top>
      <bottom/>
      <diagonal/>
    </border>
    <border>
      <left/>
      <right style="medium">
        <color indexed="30"/>
      </right>
      <top style="thin">
        <color indexed="64"/>
      </top>
      <bottom/>
      <diagonal/>
    </border>
    <border>
      <left style="medium">
        <color indexed="30"/>
      </left>
      <right style="medium">
        <color indexed="30"/>
      </right>
      <top/>
      <bottom style="thin">
        <color indexed="64"/>
      </bottom>
      <diagonal/>
    </border>
    <border>
      <left/>
      <right style="medium">
        <color indexed="30"/>
      </right>
      <top/>
      <bottom style="thin">
        <color indexed="64"/>
      </bottom>
      <diagonal/>
    </border>
    <border>
      <left style="medium">
        <color indexed="30"/>
      </left>
      <right style="medium">
        <color indexed="30"/>
      </right>
      <top/>
      <bottom style="thick">
        <color indexed="30"/>
      </bottom>
      <diagonal/>
    </border>
    <border>
      <left/>
      <right style="medium">
        <color indexed="30"/>
      </right>
      <top/>
      <bottom style="thick">
        <color indexed="30"/>
      </bottom>
      <diagonal/>
    </border>
    <border>
      <left style="thick">
        <color indexed="30"/>
      </left>
      <right style="medium">
        <color indexed="30"/>
      </right>
      <top/>
      <bottom style="medium">
        <color indexed="30"/>
      </bottom>
      <diagonal/>
    </border>
    <border>
      <left style="medium">
        <color indexed="30"/>
      </left>
      <right style="thick">
        <color indexed="30"/>
      </right>
      <top/>
      <bottom style="medium">
        <color indexed="30"/>
      </bottom>
      <diagonal/>
    </border>
    <border>
      <left style="medium">
        <color indexed="30"/>
      </left>
      <right style="medium">
        <color indexed="30"/>
      </right>
      <top style="medium">
        <color indexed="30"/>
      </top>
      <bottom style="medium">
        <color indexed="30"/>
      </bottom>
      <diagonal/>
    </border>
    <border>
      <left style="medium">
        <color indexed="30"/>
      </left>
      <right style="thick">
        <color indexed="30"/>
      </right>
      <top style="medium">
        <color indexed="30"/>
      </top>
      <bottom style="medium">
        <color indexed="30"/>
      </bottom>
      <diagonal/>
    </border>
    <border>
      <left style="medium">
        <color indexed="30"/>
      </left>
      <right/>
      <top style="medium">
        <color indexed="30"/>
      </top>
      <bottom style="medium">
        <color indexed="30"/>
      </bottom>
      <diagonal/>
    </border>
    <border>
      <left/>
      <right/>
      <top style="medium">
        <color indexed="48"/>
      </top>
      <bottom/>
      <diagonal/>
    </border>
    <border>
      <left style="thin">
        <color indexed="48"/>
      </left>
      <right style="thin">
        <color indexed="48"/>
      </right>
      <top style="medium">
        <color indexed="48"/>
      </top>
      <bottom style="thin">
        <color indexed="48"/>
      </bottom>
      <diagonal/>
    </border>
    <border>
      <left style="thin">
        <color indexed="48"/>
      </left>
      <right style="thin">
        <color indexed="48"/>
      </right>
      <top/>
      <bottom style="thin">
        <color indexed="48"/>
      </bottom>
      <diagonal/>
    </border>
    <border>
      <left style="thin">
        <color indexed="48"/>
      </left>
      <right style="thin">
        <color indexed="48"/>
      </right>
      <top style="thin">
        <color indexed="48"/>
      </top>
      <bottom style="thin">
        <color indexed="48"/>
      </bottom>
      <diagonal/>
    </border>
    <border>
      <left/>
      <right/>
      <top style="medium">
        <color indexed="30"/>
      </top>
      <bottom style="medium">
        <color indexed="30"/>
      </bottom>
      <diagonal/>
    </border>
    <border>
      <left style="thin">
        <color indexed="64"/>
      </left>
      <right style="thin">
        <color indexed="64"/>
      </right>
      <top style="thin">
        <color indexed="64"/>
      </top>
      <bottom style="thin">
        <color indexed="64"/>
      </bottom>
      <diagonal/>
    </border>
    <border>
      <left style="medium">
        <color indexed="48"/>
      </left>
      <right/>
      <top style="medium">
        <color indexed="48"/>
      </top>
      <bottom/>
      <diagonal/>
    </border>
    <border>
      <left/>
      <right/>
      <top style="medium">
        <color indexed="30"/>
      </top>
      <bottom style="thin">
        <color indexed="30"/>
      </bottom>
      <diagonal/>
    </border>
    <border>
      <left/>
      <right/>
      <top style="thin">
        <color indexed="30"/>
      </top>
      <bottom style="medium">
        <color indexed="30"/>
      </bottom>
      <diagonal/>
    </border>
    <border>
      <left/>
      <right style="medium">
        <color indexed="30"/>
      </right>
      <top style="medium">
        <color indexed="30"/>
      </top>
      <bottom style="medium">
        <color indexed="30"/>
      </bottom>
      <diagonal/>
    </border>
    <border>
      <left style="medium">
        <color indexed="30"/>
      </left>
      <right/>
      <top/>
      <bottom/>
      <diagonal/>
    </border>
    <border>
      <left/>
      <right style="thick">
        <color indexed="30"/>
      </right>
      <top/>
      <bottom/>
      <diagonal/>
    </border>
    <border>
      <left style="medium">
        <color indexed="48"/>
      </left>
      <right style="dashed">
        <color indexed="64"/>
      </right>
      <top style="medium">
        <color indexed="48"/>
      </top>
      <bottom style="dashed">
        <color indexed="64"/>
      </bottom>
      <diagonal/>
    </border>
    <border>
      <left style="dashed">
        <color indexed="64"/>
      </left>
      <right style="dashed">
        <color indexed="64"/>
      </right>
      <top style="medium">
        <color indexed="48"/>
      </top>
      <bottom style="dashed">
        <color indexed="64"/>
      </bottom>
      <diagonal/>
    </border>
    <border>
      <left style="medium">
        <color indexed="48"/>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48"/>
      </left>
      <right style="dashed">
        <color indexed="64"/>
      </right>
      <top style="dashed">
        <color indexed="64"/>
      </top>
      <bottom style="medium">
        <color indexed="48"/>
      </bottom>
      <diagonal/>
    </border>
    <border>
      <left style="dashed">
        <color indexed="64"/>
      </left>
      <right style="dashed">
        <color indexed="64"/>
      </right>
      <top style="dashed">
        <color indexed="64"/>
      </top>
      <bottom style="medium">
        <color indexed="48"/>
      </bottom>
      <diagonal/>
    </border>
    <border>
      <left style="thin">
        <color indexed="48"/>
      </left>
      <right style="thin">
        <color indexed="48"/>
      </right>
      <top style="medium">
        <color indexed="48"/>
      </top>
      <bottom/>
      <diagonal/>
    </border>
    <border>
      <left style="medium">
        <color indexed="48"/>
      </left>
      <right style="dashed">
        <color indexed="64"/>
      </right>
      <top style="dashed">
        <color indexed="64"/>
      </top>
      <bottom/>
      <diagonal/>
    </border>
    <border>
      <left style="dashed">
        <color indexed="64"/>
      </left>
      <right style="dashed">
        <color indexed="64"/>
      </right>
      <top style="dashed">
        <color indexed="64"/>
      </top>
      <bottom/>
      <diagonal/>
    </border>
    <border>
      <left style="thin">
        <color indexed="48"/>
      </left>
      <right style="thin">
        <color indexed="48"/>
      </right>
      <top style="medium">
        <color indexed="64"/>
      </top>
      <bottom style="thin">
        <color indexed="48"/>
      </bottom>
      <diagonal/>
    </border>
    <border>
      <left style="medium">
        <color indexed="48"/>
      </left>
      <right style="dashed">
        <color indexed="64"/>
      </right>
      <top/>
      <bottom style="dashed">
        <color indexed="64"/>
      </bottom>
      <diagonal/>
    </border>
    <border>
      <left style="dashed">
        <color indexed="64"/>
      </left>
      <right style="dashed">
        <color indexed="64"/>
      </right>
      <top/>
      <bottom style="dashed">
        <color indexed="64"/>
      </bottom>
      <diagonal/>
    </border>
    <border>
      <left style="thin">
        <color indexed="48"/>
      </left>
      <right/>
      <top style="thin">
        <color indexed="48"/>
      </top>
      <bottom style="thin">
        <color indexed="48"/>
      </bottom>
      <diagonal/>
    </border>
    <border>
      <left style="medium">
        <color indexed="9"/>
      </left>
      <right/>
      <top style="medium">
        <color indexed="48"/>
      </top>
      <bottom style="medium">
        <color indexed="48"/>
      </bottom>
      <diagonal/>
    </border>
    <border>
      <left/>
      <right style="medium">
        <color indexed="9"/>
      </right>
      <top style="medium">
        <color indexed="48"/>
      </top>
      <bottom style="medium">
        <color indexed="48"/>
      </bottom>
      <diagonal/>
    </border>
    <border>
      <left style="medium">
        <color indexed="9"/>
      </left>
      <right style="medium">
        <color indexed="9"/>
      </right>
      <top/>
      <bottom style="medium">
        <color indexed="48"/>
      </bottom>
      <diagonal/>
    </border>
    <border>
      <left style="medium">
        <color indexed="9"/>
      </left>
      <right/>
      <top/>
      <bottom style="medium">
        <color indexed="48"/>
      </bottom>
      <diagonal/>
    </border>
    <border>
      <left style="dashed">
        <color indexed="64"/>
      </left>
      <right/>
      <top style="medium">
        <color indexed="48"/>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48"/>
      </bottom>
      <diagonal/>
    </border>
    <border>
      <left style="dashed">
        <color indexed="64"/>
      </left>
      <right/>
      <top/>
      <bottom style="dashed">
        <color indexed="64"/>
      </bottom>
      <diagonal/>
    </border>
    <border>
      <left style="dashed">
        <color indexed="64"/>
      </left>
      <right/>
      <top style="dashed">
        <color indexed="64"/>
      </top>
      <bottom/>
      <diagonal/>
    </border>
    <border>
      <left style="medium">
        <color indexed="48"/>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43"/>
      </bottom>
      <diagonal/>
    </border>
    <border>
      <left style="thin">
        <color indexed="48"/>
      </left>
      <right/>
      <top/>
      <bottom/>
      <diagonal/>
    </border>
    <border>
      <left/>
      <right/>
      <top style="thin">
        <color indexed="43"/>
      </top>
      <bottom/>
      <diagonal/>
    </border>
    <border>
      <left/>
      <right/>
      <top style="thin">
        <color indexed="43"/>
      </top>
      <bottom style="thin">
        <color indexed="43"/>
      </bottom>
      <diagonal/>
    </border>
    <border>
      <left style="thin">
        <color indexed="30"/>
      </left>
      <right style="thin">
        <color indexed="30"/>
      </right>
      <top style="thin">
        <color indexed="30"/>
      </top>
      <bottom style="thin">
        <color indexed="30"/>
      </bottom>
      <diagonal/>
    </border>
    <border>
      <left style="thin">
        <color indexed="30"/>
      </left>
      <right style="thin">
        <color indexed="30"/>
      </right>
      <top/>
      <bottom style="thin">
        <color indexed="30"/>
      </bottom>
      <diagonal/>
    </border>
    <border>
      <left style="medium">
        <color indexed="48"/>
      </left>
      <right style="medium">
        <color indexed="48"/>
      </right>
      <top style="medium">
        <color indexed="48"/>
      </top>
      <bottom style="medium">
        <color indexed="48"/>
      </bottom>
      <diagonal/>
    </border>
    <border>
      <left/>
      <right/>
      <top style="thin">
        <color indexed="48"/>
      </top>
      <bottom style="thin">
        <color indexed="48"/>
      </bottom>
      <diagonal/>
    </border>
    <border>
      <left style="medium">
        <color indexed="30"/>
      </left>
      <right style="thick">
        <color indexed="30"/>
      </right>
      <top/>
      <bottom style="thick">
        <color indexed="30"/>
      </bottom>
      <diagonal/>
    </border>
    <border>
      <left style="thin">
        <color indexed="30"/>
      </left>
      <right style="medium">
        <color indexed="30"/>
      </right>
      <top style="medium">
        <color indexed="30"/>
      </top>
      <bottom style="thin">
        <color indexed="30"/>
      </bottom>
      <diagonal/>
    </border>
    <border>
      <left style="thin">
        <color indexed="30"/>
      </left>
      <right style="medium">
        <color indexed="30"/>
      </right>
      <top style="thin">
        <color indexed="30"/>
      </top>
      <bottom style="medium">
        <color indexed="30"/>
      </bottom>
      <diagonal/>
    </border>
    <border>
      <left style="thin">
        <color indexed="30"/>
      </left>
      <right style="medium">
        <color indexed="30"/>
      </right>
      <top style="medium">
        <color indexed="30"/>
      </top>
      <bottom style="thin">
        <color indexed="22"/>
      </bottom>
      <diagonal/>
    </border>
    <border>
      <left style="thin">
        <color indexed="30"/>
      </left>
      <right style="medium">
        <color indexed="30"/>
      </right>
      <top style="thin">
        <color indexed="22"/>
      </top>
      <bottom style="medium">
        <color indexed="30"/>
      </bottom>
      <diagonal/>
    </border>
    <border>
      <left style="thin">
        <color indexed="30"/>
      </left>
      <right style="thick">
        <color indexed="30"/>
      </right>
      <top style="medium">
        <color indexed="30"/>
      </top>
      <bottom style="thin">
        <color indexed="22"/>
      </bottom>
      <diagonal/>
    </border>
    <border>
      <left style="thin">
        <color indexed="30"/>
      </left>
      <right style="thick">
        <color indexed="30"/>
      </right>
      <top style="thin">
        <color indexed="22"/>
      </top>
      <bottom style="medium">
        <color indexed="30"/>
      </bottom>
      <diagonal/>
    </border>
    <border>
      <left style="thin">
        <color indexed="30"/>
      </left>
      <right style="thick">
        <color indexed="30"/>
      </right>
      <top style="medium">
        <color indexed="30"/>
      </top>
      <bottom style="thin">
        <color indexed="30"/>
      </bottom>
      <diagonal/>
    </border>
    <border>
      <left style="thin">
        <color indexed="30"/>
      </left>
      <right style="thick">
        <color indexed="30"/>
      </right>
      <top style="thin">
        <color indexed="30"/>
      </top>
      <bottom style="medium">
        <color indexed="30"/>
      </bottom>
      <diagonal/>
    </border>
    <border>
      <left/>
      <right style="medium">
        <color indexed="9"/>
      </right>
      <top style="thick">
        <color indexed="30"/>
      </top>
      <bottom style="medium">
        <color indexed="30"/>
      </bottom>
      <diagonal/>
    </border>
    <border>
      <left/>
      <right style="thick">
        <color indexed="30"/>
      </right>
      <top/>
      <bottom style="thick">
        <color indexed="30"/>
      </bottom>
      <diagonal/>
    </border>
    <border>
      <left style="thin">
        <color indexed="30"/>
      </left>
      <right style="thin">
        <color indexed="30"/>
      </right>
      <top style="medium">
        <color indexed="30"/>
      </top>
      <bottom style="thin">
        <color indexed="30"/>
      </bottom>
      <diagonal/>
    </border>
    <border>
      <left style="thin">
        <color indexed="30"/>
      </left>
      <right style="thin">
        <color indexed="30"/>
      </right>
      <top style="thin">
        <color indexed="30"/>
      </top>
      <bottom style="medium">
        <color indexed="30"/>
      </bottom>
      <diagonal/>
    </border>
    <border>
      <left style="medium">
        <color indexed="9"/>
      </left>
      <right style="medium">
        <color indexed="9"/>
      </right>
      <top style="thick">
        <color indexed="30"/>
      </top>
      <bottom/>
      <diagonal/>
    </border>
    <border>
      <left style="medium">
        <color indexed="9"/>
      </left>
      <right style="thick">
        <color indexed="30"/>
      </right>
      <top style="thick">
        <color indexed="30"/>
      </top>
      <bottom style="medium">
        <color indexed="30"/>
      </bottom>
      <diagonal/>
    </border>
    <border>
      <left style="thin">
        <color indexed="30"/>
      </left>
      <right style="thin">
        <color indexed="30"/>
      </right>
      <top style="medium">
        <color indexed="30"/>
      </top>
      <bottom style="thin">
        <color indexed="22"/>
      </bottom>
      <diagonal/>
    </border>
    <border>
      <left style="thin">
        <color indexed="30"/>
      </left>
      <right style="thin">
        <color indexed="30"/>
      </right>
      <top style="thin">
        <color indexed="22"/>
      </top>
      <bottom style="medium">
        <color indexed="30"/>
      </bottom>
      <diagonal/>
    </border>
    <border>
      <left style="medium">
        <color indexed="30"/>
      </left>
      <right style="medium">
        <color indexed="9"/>
      </right>
      <top style="thick">
        <color indexed="30"/>
      </top>
      <bottom/>
      <diagonal/>
    </border>
    <border>
      <left style="thick">
        <color indexed="30"/>
      </left>
      <right style="medium">
        <color indexed="30"/>
      </right>
      <top/>
      <bottom style="thick">
        <color indexed="30"/>
      </bottom>
      <diagonal/>
    </border>
    <border>
      <left style="thick">
        <color indexed="30"/>
      </left>
      <right/>
      <top style="medium">
        <color indexed="30"/>
      </top>
      <bottom style="medium">
        <color indexed="30"/>
      </bottom>
      <diagonal/>
    </border>
    <border>
      <left/>
      <right style="thick">
        <color indexed="30"/>
      </right>
      <top style="medium">
        <color indexed="30"/>
      </top>
      <bottom style="medium">
        <color indexed="30"/>
      </bottom>
      <diagonal/>
    </border>
    <border>
      <left style="thick">
        <color rgb="FF0070C0"/>
      </left>
      <right style="medium">
        <color rgb="FF0070C0"/>
      </right>
      <top style="thick">
        <color rgb="FF0070C0"/>
      </top>
      <bottom style="thick">
        <color rgb="FF0070C0"/>
      </bottom>
      <diagonal/>
    </border>
    <border>
      <left style="medium">
        <color rgb="FF0070C0"/>
      </left>
      <right style="medium">
        <color rgb="FF0070C0"/>
      </right>
      <top style="thick">
        <color rgb="FF0070C0"/>
      </top>
      <bottom style="thick">
        <color rgb="FF0070C0"/>
      </bottom>
      <diagonal/>
    </border>
    <border>
      <left style="medium">
        <color rgb="FF0070C0"/>
      </left>
      <right style="thick">
        <color rgb="FF0070C0"/>
      </right>
      <top style="thick">
        <color rgb="FF0070C0"/>
      </top>
      <bottom style="thick">
        <color rgb="FF0070C0"/>
      </bottom>
      <diagonal/>
    </border>
    <border>
      <left style="medium">
        <color rgb="FF0070C0"/>
      </left>
      <right/>
      <top style="thick">
        <color rgb="FF0070C0"/>
      </top>
      <bottom style="thick">
        <color rgb="FF0070C0"/>
      </bottom>
      <diagonal/>
    </border>
    <border>
      <left style="thick">
        <color rgb="FF0070C0"/>
      </left>
      <right style="medium">
        <color rgb="FF0070C0"/>
      </right>
      <top/>
      <bottom style="medium">
        <color rgb="FF0070C0"/>
      </bottom>
      <diagonal/>
    </border>
    <border>
      <left style="medium">
        <color rgb="FF0070C0"/>
      </left>
      <right style="medium">
        <color rgb="FF0070C0"/>
      </right>
      <top/>
      <bottom style="medium">
        <color rgb="FF0070C0"/>
      </bottom>
      <diagonal/>
    </border>
    <border>
      <left style="medium">
        <color rgb="FF0070C0"/>
      </left>
      <right style="thick">
        <color rgb="FF0070C0"/>
      </right>
      <top/>
      <bottom style="medium">
        <color rgb="FF0070C0"/>
      </bottom>
      <diagonal/>
    </border>
    <border>
      <left style="medium">
        <color rgb="FF0070C0"/>
      </left>
      <right/>
      <top/>
      <bottom style="medium">
        <color rgb="FF0070C0"/>
      </bottom>
      <diagonal/>
    </border>
    <border>
      <left style="thick">
        <color rgb="FF0070C0"/>
      </left>
      <right style="medium">
        <color rgb="FF0070C0"/>
      </right>
      <top style="medium">
        <color rgb="FF0070C0"/>
      </top>
      <bottom style="medium">
        <color rgb="FF0070C0"/>
      </bottom>
      <diagonal/>
    </border>
    <border>
      <left style="medium">
        <color rgb="FF0070C0"/>
      </left>
      <right style="medium">
        <color rgb="FF0070C0"/>
      </right>
      <top style="medium">
        <color rgb="FF0070C0"/>
      </top>
      <bottom style="medium">
        <color rgb="FF0070C0"/>
      </bottom>
      <diagonal/>
    </border>
    <border>
      <left style="medium">
        <color rgb="FF0070C0"/>
      </left>
      <right style="thick">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style="thick">
        <color rgb="FF0070C0"/>
      </left>
      <right style="medium">
        <color rgb="FF0070C0"/>
      </right>
      <top style="medium">
        <color rgb="FF0070C0"/>
      </top>
      <bottom style="thick">
        <color rgb="FF0070C0"/>
      </bottom>
      <diagonal/>
    </border>
    <border>
      <left style="medium">
        <color rgb="FF0070C0"/>
      </left>
      <right style="medium">
        <color rgb="FF0070C0"/>
      </right>
      <top style="medium">
        <color rgb="FF0070C0"/>
      </top>
      <bottom style="thick">
        <color rgb="FF0070C0"/>
      </bottom>
      <diagonal/>
    </border>
    <border>
      <left style="medium">
        <color rgb="FF0070C0"/>
      </left>
      <right style="thick">
        <color rgb="FF0070C0"/>
      </right>
      <top style="medium">
        <color rgb="FF0070C0"/>
      </top>
      <bottom style="thick">
        <color rgb="FF0070C0"/>
      </bottom>
      <diagonal/>
    </border>
    <border>
      <left style="medium">
        <color rgb="FF0070C0"/>
      </left>
      <right/>
      <top style="medium">
        <color rgb="FF0070C0"/>
      </top>
      <bottom style="thick">
        <color rgb="FF0070C0"/>
      </bottom>
      <diagonal/>
    </border>
    <border>
      <left/>
      <right style="medium">
        <color rgb="FF0070C0"/>
      </right>
      <top/>
      <bottom style="medium">
        <color rgb="FF0070C0"/>
      </bottom>
      <diagonal/>
    </border>
    <border>
      <left/>
      <right style="thin">
        <color theme="0"/>
      </right>
      <top/>
      <bottom style="thin">
        <color rgb="FF0070C0"/>
      </bottom>
      <diagonal/>
    </border>
    <border>
      <left style="thin">
        <color theme="0"/>
      </left>
      <right style="thin">
        <color theme="0"/>
      </right>
      <top/>
      <bottom style="thin">
        <color rgb="FF0070C0"/>
      </bottom>
      <diagonal/>
    </border>
    <border>
      <left style="thin">
        <color theme="0"/>
      </left>
      <right/>
      <top/>
      <bottom style="thin">
        <color rgb="FF0070C0"/>
      </bottom>
      <diagonal/>
    </border>
    <border>
      <left style="medium">
        <color theme="0"/>
      </left>
      <right style="thin">
        <color theme="0"/>
      </right>
      <top/>
      <bottom style="thin">
        <color rgb="FF0070C0"/>
      </bottom>
      <diagonal/>
    </border>
    <border>
      <left style="thin">
        <color theme="0"/>
      </left>
      <right style="medium">
        <color theme="0"/>
      </right>
      <top/>
      <bottom style="thin">
        <color rgb="FF0070C0"/>
      </bottom>
      <diagonal/>
    </border>
    <border>
      <left/>
      <right/>
      <top/>
      <bottom style="thin">
        <color rgb="FF0070C0"/>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diagonal/>
    </border>
    <border>
      <left style="medium">
        <color rgb="FF0070C0"/>
      </left>
      <right style="dashed">
        <color indexed="64"/>
      </right>
      <top style="dashed">
        <color indexed="64"/>
      </top>
      <bottom style="dashed">
        <color indexed="64"/>
      </bottom>
      <diagonal/>
    </border>
    <border>
      <left style="dashed">
        <color indexed="64"/>
      </left>
      <right style="medium">
        <color rgb="FF0070C0"/>
      </right>
      <top style="dashed">
        <color indexed="64"/>
      </top>
      <bottom style="dashed">
        <color indexed="64"/>
      </bottom>
      <diagonal/>
    </border>
    <border>
      <left style="dashed">
        <color indexed="64"/>
      </left>
      <right style="medium">
        <color rgb="FF0070C0"/>
      </right>
      <top style="dashed">
        <color indexed="64"/>
      </top>
      <bottom style="medium">
        <color indexed="48"/>
      </bottom>
      <diagonal/>
    </border>
    <border>
      <left style="dashed">
        <color indexed="64"/>
      </left>
      <right style="medium">
        <color rgb="FF0070C0"/>
      </right>
      <top/>
      <bottom style="dashed">
        <color indexed="64"/>
      </bottom>
      <diagonal/>
    </border>
    <border>
      <left style="dashed">
        <color indexed="64"/>
      </left>
      <right style="medium">
        <color rgb="FF0070C0"/>
      </right>
      <top style="dashed">
        <color indexed="64"/>
      </top>
      <bottom/>
      <diagonal/>
    </border>
    <border>
      <left style="dashed">
        <color indexed="64"/>
      </left>
      <right style="medium">
        <color rgb="FF0070C0"/>
      </right>
      <top style="medium">
        <color indexed="48"/>
      </top>
      <bottom style="dashed">
        <color indexed="64"/>
      </bottom>
      <diagonal/>
    </border>
    <border>
      <left style="dashed">
        <color indexed="64"/>
      </left>
      <right style="dashed">
        <color indexed="64"/>
      </right>
      <top style="dashed">
        <color indexed="64"/>
      </top>
      <bottom style="medium">
        <color rgb="FF0070C0"/>
      </bottom>
      <diagonal/>
    </border>
    <border>
      <left style="medium">
        <color rgb="FF0070C0"/>
      </left>
      <right style="dashed">
        <color indexed="64"/>
      </right>
      <top style="medium">
        <color rgb="FF0070C0"/>
      </top>
      <bottom style="dashed">
        <color indexed="64"/>
      </bottom>
      <diagonal/>
    </border>
    <border>
      <left style="dashed">
        <color indexed="64"/>
      </left>
      <right style="dashed">
        <color indexed="64"/>
      </right>
      <top style="medium">
        <color rgb="FF0070C0"/>
      </top>
      <bottom style="dashed">
        <color indexed="64"/>
      </bottom>
      <diagonal/>
    </border>
    <border>
      <left style="dashed">
        <color indexed="64"/>
      </left>
      <right style="medium">
        <color rgb="FF0070C0"/>
      </right>
      <top style="medium">
        <color rgb="FF0070C0"/>
      </top>
      <bottom style="dashed">
        <color indexed="64"/>
      </bottom>
      <diagonal/>
    </border>
    <border>
      <left style="medium">
        <color rgb="FF0070C0"/>
      </left>
      <right style="dashed">
        <color indexed="64"/>
      </right>
      <top style="dashed">
        <color indexed="64"/>
      </top>
      <bottom style="medium">
        <color rgb="FF0070C0"/>
      </bottom>
      <diagonal/>
    </border>
    <border>
      <left style="dashed">
        <color indexed="64"/>
      </left>
      <right style="medium">
        <color rgb="FF0070C0"/>
      </right>
      <top style="dashed">
        <color indexed="64"/>
      </top>
      <bottom style="medium">
        <color rgb="FF0070C0"/>
      </bottom>
      <diagonal/>
    </border>
    <border>
      <left style="dashed">
        <color indexed="64"/>
      </left>
      <right/>
      <top style="medium">
        <color rgb="FF0070C0"/>
      </top>
      <bottom style="dashed">
        <color indexed="64"/>
      </bottom>
      <diagonal/>
    </border>
    <border>
      <left style="dashed">
        <color indexed="64"/>
      </left>
      <right/>
      <top style="dashed">
        <color indexed="64"/>
      </top>
      <bottom style="medium">
        <color rgb="FF0070C0"/>
      </bottom>
      <diagonal/>
    </border>
    <border>
      <left style="medium">
        <color indexed="48"/>
      </left>
      <right style="dashed">
        <color indexed="64"/>
      </right>
      <top style="medium">
        <color rgb="FF0070C0"/>
      </top>
      <bottom style="dashed">
        <color indexed="64"/>
      </bottom>
      <diagonal/>
    </border>
    <border>
      <left style="medium">
        <color indexed="48"/>
      </left>
      <right style="dashed">
        <color indexed="64"/>
      </right>
      <top style="dashed">
        <color indexed="64"/>
      </top>
      <bottom style="medium">
        <color rgb="FF0070C0"/>
      </bottom>
      <diagonal/>
    </border>
    <border>
      <left style="medium">
        <color rgb="FF0070C0"/>
      </left>
      <right style="medium">
        <color indexed="9"/>
      </right>
      <top/>
      <bottom style="medium">
        <color indexed="48"/>
      </bottom>
      <diagonal/>
    </border>
    <border>
      <left/>
      <right style="medium">
        <color indexed="48"/>
      </right>
      <top style="medium">
        <color theme="0"/>
      </top>
      <bottom style="medium">
        <color theme="0"/>
      </bottom>
      <diagonal/>
    </border>
    <border>
      <left/>
      <right style="medium">
        <color indexed="48"/>
      </right>
      <top style="medium">
        <color theme="0"/>
      </top>
      <bottom/>
      <diagonal/>
    </border>
    <border>
      <left style="medium">
        <color rgb="FF0070C0"/>
      </left>
      <right/>
      <top style="medium">
        <color rgb="FF0070C0"/>
      </top>
      <bottom style="thin">
        <color theme="0"/>
      </bottom>
      <diagonal/>
    </border>
    <border>
      <left style="medium">
        <color rgb="FF0070C0"/>
      </left>
      <right/>
      <top style="thin">
        <color theme="0"/>
      </top>
      <bottom style="thin">
        <color theme="0"/>
      </bottom>
      <diagonal/>
    </border>
    <border>
      <left style="medium">
        <color rgb="FF0070C0"/>
      </left>
      <right/>
      <top/>
      <bottom style="thin">
        <color theme="0"/>
      </bottom>
      <diagonal/>
    </border>
    <border>
      <left style="medium">
        <color rgb="FF0070C0"/>
      </left>
      <right/>
      <top style="thin">
        <color theme="0"/>
      </top>
      <bottom style="medium">
        <color rgb="FF0070C0"/>
      </bottom>
      <diagonal/>
    </border>
    <border>
      <left style="dashed">
        <color theme="1"/>
      </left>
      <right/>
      <top style="thin">
        <color rgb="FF0070C0"/>
      </top>
      <bottom style="dashed">
        <color theme="1"/>
      </bottom>
      <diagonal/>
    </border>
    <border>
      <left style="dashed">
        <color theme="1"/>
      </left>
      <right/>
      <top style="dashed">
        <color theme="1"/>
      </top>
      <bottom style="dashed">
        <color theme="1"/>
      </bottom>
      <diagonal/>
    </border>
    <border>
      <left style="dashed">
        <color theme="1"/>
      </left>
      <right/>
      <top style="dashed">
        <color theme="1"/>
      </top>
      <bottom style="medium">
        <color rgb="FF0070C0"/>
      </bottom>
      <diagonal/>
    </border>
    <border>
      <left style="medium">
        <color rgb="FF0070C0"/>
      </left>
      <right/>
      <top style="thin">
        <color rgb="FF0070C0"/>
      </top>
      <bottom style="dashed">
        <color theme="1"/>
      </bottom>
      <diagonal/>
    </border>
    <border>
      <left style="medium">
        <color rgb="FF0070C0"/>
      </left>
      <right/>
      <top style="dashed">
        <color theme="1"/>
      </top>
      <bottom style="dashed">
        <color theme="1"/>
      </bottom>
      <diagonal/>
    </border>
    <border>
      <left style="medium">
        <color rgb="FF0070C0"/>
      </left>
      <right/>
      <top style="dashed">
        <color theme="1"/>
      </top>
      <bottom style="medium">
        <color rgb="FF0070C0"/>
      </bottom>
      <diagonal/>
    </border>
    <border>
      <left style="dashed">
        <color theme="1"/>
      </left>
      <right style="dashed">
        <color theme="1"/>
      </right>
      <top style="thin">
        <color rgb="FF0070C0"/>
      </top>
      <bottom style="dashed">
        <color theme="1"/>
      </bottom>
      <diagonal/>
    </border>
    <border>
      <left/>
      <right/>
      <top style="thin">
        <color rgb="FF0070C0"/>
      </top>
      <bottom style="dashed">
        <color theme="1"/>
      </bottom>
      <diagonal/>
    </border>
    <border>
      <left style="dashed">
        <color theme="1"/>
      </left>
      <right style="dashed">
        <color theme="1"/>
      </right>
      <top style="dashed">
        <color theme="1"/>
      </top>
      <bottom style="dashed">
        <color theme="1"/>
      </bottom>
      <diagonal/>
    </border>
    <border>
      <left/>
      <right/>
      <top style="dashed">
        <color theme="1"/>
      </top>
      <bottom style="dashed">
        <color theme="1"/>
      </bottom>
      <diagonal/>
    </border>
    <border>
      <left style="dashed">
        <color theme="1"/>
      </left>
      <right style="dashed">
        <color theme="1"/>
      </right>
      <top style="dashed">
        <color theme="1"/>
      </top>
      <bottom style="medium">
        <color rgb="FF0070C0"/>
      </bottom>
      <diagonal/>
    </border>
    <border>
      <left/>
      <right style="medium">
        <color rgb="FF0070C0"/>
      </right>
      <top style="dashed">
        <color theme="1"/>
      </top>
      <bottom style="medium">
        <color rgb="FF0070C0"/>
      </bottom>
      <diagonal/>
    </border>
    <border>
      <left style="dashed">
        <color indexed="64"/>
      </left>
      <right style="dashed">
        <color indexed="64"/>
      </right>
      <top style="thin">
        <color rgb="FF0070C0"/>
      </top>
      <bottom style="dashed">
        <color theme="1"/>
      </bottom>
      <diagonal/>
    </border>
    <border>
      <left/>
      <right style="medium">
        <color rgb="FF0070C0"/>
      </right>
      <top style="thin">
        <color rgb="FF0070C0"/>
      </top>
      <bottom style="dashed">
        <color theme="1"/>
      </bottom>
      <diagonal/>
    </border>
    <border>
      <left style="dashed">
        <color indexed="64"/>
      </left>
      <right style="dashed">
        <color indexed="64"/>
      </right>
      <top style="dashed">
        <color theme="1"/>
      </top>
      <bottom style="dashed">
        <color theme="1"/>
      </bottom>
      <diagonal/>
    </border>
    <border>
      <left/>
      <right style="medium">
        <color rgb="FF0070C0"/>
      </right>
      <top style="dashed">
        <color theme="1"/>
      </top>
      <bottom style="dashed">
        <color theme="1"/>
      </bottom>
      <diagonal/>
    </border>
    <border>
      <left style="dashed">
        <color indexed="64"/>
      </left>
      <right style="dashed">
        <color indexed="64"/>
      </right>
      <top style="dashed">
        <color theme="1"/>
      </top>
      <bottom style="medium">
        <color rgb="FF0070C0"/>
      </bottom>
      <diagonal/>
    </border>
    <border>
      <left/>
      <right style="medium">
        <color rgb="FF0070C0"/>
      </right>
      <top style="dashed">
        <color theme="1"/>
      </top>
      <bottom style="thin">
        <color rgb="FF0070C0"/>
      </bottom>
      <diagonal/>
    </border>
    <border>
      <left style="medium">
        <color rgb="FF0070C0"/>
      </left>
      <right style="medium">
        <color rgb="FF0070C0"/>
      </right>
      <top style="dashed">
        <color theme="1"/>
      </top>
      <bottom style="medium">
        <color rgb="FF0070C0"/>
      </bottom>
      <diagonal/>
    </border>
    <border>
      <left style="thin">
        <color rgb="FF0070C0"/>
      </left>
      <right/>
      <top/>
      <bottom/>
      <diagonal/>
    </border>
    <border>
      <left style="thin">
        <color rgb="FF0070C0"/>
      </left>
      <right/>
      <top style="thin">
        <color rgb="FF0070C0"/>
      </top>
      <bottom/>
      <diagonal/>
    </border>
    <border>
      <left style="medium">
        <color rgb="FF0070C0"/>
      </left>
      <right style="medium">
        <color rgb="FF0070C0"/>
      </right>
      <top style="thin">
        <color rgb="FF0070C0"/>
      </top>
      <bottom style="thin">
        <color rgb="FF0070C0"/>
      </bottom>
      <diagonal/>
    </border>
    <border>
      <left style="medium">
        <color rgb="FF0070C0"/>
      </left>
      <right style="medium">
        <color rgb="FF0070C0"/>
      </right>
      <top style="thin">
        <color rgb="FF0070C0"/>
      </top>
      <bottom style="medium">
        <color rgb="FF0070C0"/>
      </bottom>
      <diagonal/>
    </border>
    <border>
      <left style="medium">
        <color rgb="FF0070C0"/>
      </left>
      <right style="medium">
        <color rgb="FF0070C0"/>
      </right>
      <top/>
      <bottom style="thin">
        <color rgb="FF0070C0"/>
      </bottom>
      <diagonal/>
    </border>
    <border>
      <left style="medium">
        <color rgb="FF0070C0"/>
      </left>
      <right/>
      <top/>
      <bottom style="thin">
        <color rgb="FF0070C0"/>
      </bottom>
      <diagonal/>
    </border>
    <border>
      <left style="medium">
        <color rgb="FF0070C0"/>
      </left>
      <right/>
      <top style="thin">
        <color rgb="FF0070C0"/>
      </top>
      <bottom style="thin">
        <color rgb="FF0070C0"/>
      </bottom>
      <diagonal/>
    </border>
    <border>
      <left style="medium">
        <color rgb="FF0070C0"/>
      </left>
      <right/>
      <top style="thin">
        <color rgb="FF0070C0"/>
      </top>
      <bottom style="medium">
        <color rgb="FF0070C0"/>
      </bottom>
      <diagonal/>
    </border>
    <border>
      <left style="thin">
        <color rgb="FF0070C0"/>
      </left>
      <right style="thin">
        <color rgb="FF0070C0"/>
      </right>
      <top style="thin">
        <color rgb="FF0070C0"/>
      </top>
      <bottom style="thin">
        <color rgb="FF0070C0"/>
      </bottom>
      <diagonal/>
    </border>
    <border>
      <left style="medium">
        <color rgb="FF0070C0"/>
      </left>
      <right style="medium">
        <color theme="0"/>
      </right>
      <top style="medium">
        <color theme="0"/>
      </top>
      <bottom style="medium">
        <color theme="0"/>
      </bottom>
      <diagonal/>
    </border>
    <border>
      <left style="medium">
        <color rgb="FF0070C0"/>
      </left>
      <right style="medium">
        <color theme="0"/>
      </right>
      <top style="medium">
        <color theme="0"/>
      </top>
      <bottom/>
      <diagonal/>
    </border>
    <border>
      <left style="medium">
        <color rgb="FF0070C0"/>
      </left>
      <right style="medium">
        <color theme="0"/>
      </right>
      <top style="medium">
        <color rgb="FF0070C0"/>
      </top>
      <bottom style="medium">
        <color theme="0"/>
      </bottom>
      <diagonal/>
    </border>
    <border>
      <left style="medium">
        <color theme="0"/>
      </left>
      <right style="medium">
        <color theme="0"/>
      </right>
      <top style="medium">
        <color rgb="FF0070C0"/>
      </top>
      <bottom style="medium">
        <color theme="0"/>
      </bottom>
      <diagonal/>
    </border>
    <border>
      <left style="medium">
        <color theme="0"/>
      </left>
      <right style="medium">
        <color theme="0"/>
      </right>
      <top style="medium">
        <color rgb="FF0070C0"/>
      </top>
      <bottom/>
      <diagonal/>
    </border>
    <border>
      <left style="medium">
        <color theme="0"/>
      </left>
      <right style="medium">
        <color rgb="FF0070C0"/>
      </right>
      <top style="medium">
        <color rgb="FF0070C0"/>
      </top>
      <bottom/>
      <diagonal/>
    </border>
    <border>
      <left style="medium">
        <color rgb="FF0070C0"/>
      </left>
      <right style="medium">
        <color theme="0"/>
      </right>
      <top/>
      <bottom style="medium">
        <color theme="0"/>
      </bottom>
      <diagonal/>
    </border>
    <border>
      <left style="medium">
        <color theme="0"/>
      </left>
      <right style="medium">
        <color theme="0"/>
      </right>
      <top/>
      <bottom style="medium">
        <color theme="0"/>
      </bottom>
      <diagonal/>
    </border>
    <border>
      <left style="medium">
        <color indexed="9"/>
      </left>
      <right style="medium">
        <color rgb="FF0070C0"/>
      </right>
      <top style="thick">
        <color indexed="30"/>
      </top>
      <bottom style="medium">
        <color indexed="30"/>
      </bottom>
      <diagonal/>
    </border>
    <border>
      <left/>
      <right/>
      <top/>
      <bottom style="medium">
        <color rgb="FF0070C0"/>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s>
  <cellStyleXfs count="41">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3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01">
    <xf numFmtId="0" fontId="0" fillId="0" borderId="0" xfId="0"/>
    <xf numFmtId="0" fontId="0" fillId="0" borderId="0" xfId="0" applyBorder="1"/>
    <xf numFmtId="0" fontId="0" fillId="0" borderId="0" xfId="0" applyProtection="1">
      <protection hidden="1"/>
    </xf>
    <xf numFmtId="0" fontId="0" fillId="0" borderId="0" xfId="0" applyAlignment="1">
      <alignment horizontal="center"/>
    </xf>
    <xf numFmtId="0" fontId="6" fillId="0" borderId="0" xfId="0" applyFont="1"/>
    <xf numFmtId="0" fontId="0" fillId="0" borderId="0" xfId="0" applyAlignment="1"/>
    <xf numFmtId="0" fontId="2" fillId="0" borderId="0" xfId="0" applyFont="1" applyBorder="1"/>
    <xf numFmtId="0" fontId="0" fillId="0" borderId="2" xfId="0" applyBorder="1"/>
    <xf numFmtId="0" fontId="0" fillId="0" borderId="0" xfId="0" applyAlignment="1">
      <alignment wrapText="1"/>
    </xf>
    <xf numFmtId="0" fontId="10" fillId="0" borderId="0" xfId="0" applyFont="1" applyAlignment="1" applyProtection="1">
      <alignment horizontal="left" vertical="center"/>
    </xf>
    <xf numFmtId="0" fontId="10" fillId="0" borderId="0" xfId="0" applyFont="1" applyAlignment="1">
      <alignment wrapText="1"/>
    </xf>
    <xf numFmtId="0" fontId="20" fillId="2" borderId="3" xfId="0" applyFont="1" applyFill="1" applyBorder="1" applyAlignment="1">
      <alignment horizontal="center" vertical="center" wrapText="1"/>
    </xf>
    <xf numFmtId="0" fontId="2" fillId="0" borderId="4" xfId="0" applyFont="1" applyBorder="1"/>
    <xf numFmtId="0" fontId="2" fillId="0" borderId="1" xfId="0" applyFont="1" applyBorder="1"/>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0" xfId="0" applyFont="1" applyFill="1" applyBorder="1" applyAlignment="1">
      <alignment horizontal="center" vertical="center"/>
    </xf>
    <xf numFmtId="0" fontId="20" fillId="2" borderId="11" xfId="0" applyFont="1" applyFill="1" applyBorder="1" applyAlignment="1" applyProtection="1">
      <alignment horizontal="center" textRotation="90" wrapText="1"/>
      <protection hidden="1"/>
    </xf>
    <xf numFmtId="0" fontId="20" fillId="2" borderId="12" xfId="0" applyFont="1" applyFill="1" applyBorder="1" applyAlignment="1">
      <alignment horizontal="center" vertical="center" wrapText="1"/>
    </xf>
    <xf numFmtId="0" fontId="20" fillId="2" borderId="13" xfId="0" applyFont="1" applyFill="1" applyBorder="1" applyAlignment="1">
      <alignment horizontal="center" vertical="center" wrapText="1"/>
    </xf>
    <xf numFmtId="0" fontId="1" fillId="0" borderId="0" xfId="0" applyFont="1"/>
    <xf numFmtId="0" fontId="1" fillId="0" borderId="0" xfId="0" applyFont="1" applyFill="1" applyBorder="1" applyAlignment="1">
      <alignment horizontal="center" wrapText="1"/>
    </xf>
    <xf numFmtId="0" fontId="0" fillId="0" borderId="0" xfId="0" applyBorder="1" applyAlignment="1"/>
    <xf numFmtId="0" fontId="20" fillId="2" borderId="14"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16" xfId="0" applyFont="1" applyFill="1" applyBorder="1" applyAlignment="1">
      <alignment horizontal="center" vertical="center"/>
    </xf>
    <xf numFmtId="0" fontId="39" fillId="0" borderId="0" xfId="0" applyFont="1" applyBorder="1"/>
    <xf numFmtId="0" fontId="39" fillId="0" borderId="17" xfId="0" applyFont="1" applyBorder="1" applyAlignment="1" applyProtection="1">
      <alignment horizontal="center"/>
      <protection hidden="1"/>
    </xf>
    <xf numFmtId="0" fontId="39" fillId="0" borderId="18" xfId="0" applyFont="1" applyBorder="1" applyAlignment="1" applyProtection="1">
      <alignment horizontal="center"/>
      <protection hidden="1"/>
    </xf>
    <xf numFmtId="0" fontId="39" fillId="0" borderId="19" xfId="0" applyFont="1" applyBorder="1" applyAlignment="1" applyProtection="1">
      <alignment horizontal="center"/>
      <protection hidden="1"/>
    </xf>
    <xf numFmtId="0" fontId="39" fillId="0" borderId="20" xfId="0" applyFont="1" applyBorder="1" applyAlignment="1" applyProtection="1">
      <alignment horizontal="center"/>
      <protection hidden="1"/>
    </xf>
    <xf numFmtId="0" fontId="39" fillId="0" borderId="21" xfId="0" applyFont="1" applyBorder="1" applyAlignment="1" applyProtection="1">
      <alignment horizontal="center"/>
      <protection hidden="1"/>
    </xf>
    <xf numFmtId="0" fontId="39" fillId="0" borderId="22" xfId="0" applyFont="1" applyBorder="1" applyAlignment="1" applyProtection="1">
      <alignment horizontal="center"/>
      <protection hidden="1"/>
    </xf>
    <xf numFmtId="0" fontId="40" fillId="4" borderId="23" xfId="0" applyFont="1" applyFill="1" applyBorder="1" applyAlignment="1" applyProtection="1">
      <alignment horizontal="center" vertical="center"/>
      <protection hidden="1"/>
    </xf>
    <xf numFmtId="0" fontId="40" fillId="4" borderId="24" xfId="0" applyFont="1" applyFill="1" applyBorder="1" applyAlignment="1" applyProtection="1">
      <alignment horizontal="center" vertical="center"/>
      <protection hidden="1"/>
    </xf>
    <xf numFmtId="0" fontId="40" fillId="4" borderId="25" xfId="0" applyFont="1" applyFill="1" applyBorder="1" applyAlignment="1" applyProtection="1">
      <alignment horizontal="center" vertical="center"/>
      <protection hidden="1"/>
    </xf>
    <xf numFmtId="0" fontId="39" fillId="0" borderId="26" xfId="0" applyFont="1" applyBorder="1" applyAlignment="1" applyProtection="1">
      <alignment horizontal="center"/>
      <protection hidden="1"/>
    </xf>
    <xf numFmtId="0" fontId="40" fillId="4" borderId="27" xfId="0" applyFont="1" applyFill="1" applyBorder="1" applyAlignment="1" applyProtection="1">
      <alignment horizontal="center" vertical="center"/>
      <protection hidden="1"/>
    </xf>
    <xf numFmtId="0" fontId="39" fillId="0" borderId="28" xfId="0" applyFont="1" applyBorder="1" applyAlignment="1" applyProtection="1">
      <alignment horizontal="center"/>
      <protection hidden="1"/>
    </xf>
    <xf numFmtId="0" fontId="40" fillId="4" borderId="29" xfId="0" applyFont="1" applyFill="1" applyBorder="1" applyAlignment="1" applyProtection="1">
      <alignment horizontal="center" vertical="center"/>
      <protection hidden="1"/>
    </xf>
    <xf numFmtId="0" fontId="40" fillId="4" borderId="30" xfId="0" applyFont="1" applyFill="1" applyBorder="1" applyAlignment="1" applyProtection="1">
      <alignment horizontal="center" vertical="center"/>
      <protection hidden="1"/>
    </xf>
    <xf numFmtId="0" fontId="39" fillId="0" borderId="31" xfId="0" applyFont="1" applyBorder="1"/>
    <xf numFmtId="0" fontId="39" fillId="0" borderId="32" xfId="0" applyFont="1" applyBorder="1" applyAlignment="1" applyProtection="1">
      <alignment horizontal="center"/>
      <protection hidden="1"/>
    </xf>
    <xf numFmtId="0" fontId="39" fillId="0" borderId="33" xfId="0" applyFont="1" applyBorder="1" applyAlignment="1" applyProtection="1">
      <alignment horizontal="center"/>
      <protection hidden="1"/>
    </xf>
    <xf numFmtId="0" fontId="39" fillId="0" borderId="34" xfId="0" applyFont="1" applyBorder="1" applyAlignment="1" applyProtection="1">
      <alignment horizontal="center"/>
      <protection hidden="1"/>
    </xf>
    <xf numFmtId="0" fontId="39" fillId="0" borderId="35" xfId="0" applyFont="1" applyBorder="1" applyAlignment="1" applyProtection="1">
      <alignment horizontal="center"/>
      <protection hidden="1"/>
    </xf>
    <xf numFmtId="0" fontId="39" fillId="0" borderId="36" xfId="0" applyFont="1" applyBorder="1"/>
    <xf numFmtId="0" fontId="39" fillId="0" borderId="37" xfId="0" applyFont="1" applyBorder="1" applyAlignment="1" applyProtection="1">
      <alignment horizontal="center"/>
      <protection hidden="1"/>
    </xf>
    <xf numFmtId="0" fontId="39" fillId="0" borderId="38" xfId="0" applyFont="1" applyBorder="1" applyAlignment="1" applyProtection="1">
      <alignment horizontal="center"/>
      <protection hidden="1"/>
    </xf>
    <xf numFmtId="0" fontId="39" fillId="0" borderId="39" xfId="0" applyFont="1" applyBorder="1" applyAlignment="1" applyProtection="1">
      <alignment horizontal="center"/>
      <protection hidden="1"/>
    </xf>
    <xf numFmtId="0" fontId="39" fillId="0" borderId="40" xfId="0" applyFont="1" applyBorder="1" applyAlignment="1" applyProtection="1">
      <alignment horizontal="center"/>
      <protection hidden="1"/>
    </xf>
    <xf numFmtId="0" fontId="40" fillId="4" borderId="41" xfId="0" applyFont="1" applyFill="1" applyBorder="1" applyAlignment="1" applyProtection="1">
      <alignment horizontal="center" vertical="center"/>
      <protection hidden="1"/>
    </xf>
    <xf numFmtId="0" fontId="40" fillId="4" borderId="42" xfId="0" applyFont="1" applyFill="1" applyBorder="1" applyAlignment="1" applyProtection="1">
      <alignment horizontal="center" vertical="center"/>
      <protection hidden="1"/>
    </xf>
    <xf numFmtId="0" fontId="40" fillId="4" borderId="43" xfId="0" applyFont="1" applyFill="1" applyBorder="1" applyAlignment="1" applyProtection="1">
      <alignment horizontal="center" vertical="center"/>
      <protection hidden="1"/>
    </xf>
    <xf numFmtId="0" fontId="39" fillId="0" borderId="44" xfId="0" applyFont="1" applyBorder="1" applyAlignment="1" applyProtection="1">
      <alignment horizontal="center"/>
      <protection hidden="1"/>
    </xf>
    <xf numFmtId="0" fontId="39" fillId="0" borderId="45" xfId="0" applyFont="1" applyBorder="1" applyAlignment="1" applyProtection="1">
      <alignment horizontal="center"/>
      <protection hidden="1"/>
    </xf>
    <xf numFmtId="0" fontId="39" fillId="0" borderId="46" xfId="0" applyFont="1" applyBorder="1" applyAlignment="1" applyProtection="1">
      <alignment horizontal="center"/>
      <protection hidden="1"/>
    </xf>
    <xf numFmtId="0" fontId="39" fillId="0" borderId="47" xfId="0" applyFont="1" applyBorder="1" applyAlignment="1" applyProtection="1">
      <alignment horizontal="center"/>
      <protection hidden="1"/>
    </xf>
    <xf numFmtId="165" fontId="39" fillId="0" borderId="46" xfId="0" applyNumberFormat="1" applyFont="1" applyBorder="1" applyAlignment="1" applyProtection="1">
      <alignment horizontal="center"/>
      <protection hidden="1"/>
    </xf>
    <xf numFmtId="165" fontId="39" fillId="0" borderId="47" xfId="0" applyNumberFormat="1" applyFont="1" applyBorder="1" applyAlignment="1" applyProtection="1">
      <alignment horizontal="center"/>
      <protection hidden="1"/>
    </xf>
    <xf numFmtId="0" fontId="39" fillId="0" borderId="0" xfId="0" applyFont="1" applyFill="1" applyBorder="1"/>
    <xf numFmtId="0" fontId="39" fillId="0" borderId="0" xfId="0" applyFont="1"/>
    <xf numFmtId="0" fontId="39" fillId="0" borderId="0" xfId="0" applyFont="1" applyAlignment="1">
      <alignment horizontal="center" vertical="center"/>
    </xf>
    <xf numFmtId="0" fontId="40" fillId="0" borderId="38" xfId="0" applyFont="1" applyBorder="1" applyAlignment="1" applyProtection="1">
      <alignment horizontal="center" vertical="center"/>
      <protection hidden="1"/>
    </xf>
    <xf numFmtId="0" fontId="40" fillId="0" borderId="48" xfId="0" applyFont="1" applyBorder="1" applyAlignment="1" applyProtection="1">
      <alignment horizontal="center" vertical="center"/>
      <protection hidden="1"/>
    </xf>
    <xf numFmtId="0" fontId="40" fillId="0" borderId="40" xfId="0" applyFont="1" applyBorder="1" applyAlignment="1" applyProtection="1">
      <alignment horizontal="center" vertical="center"/>
      <protection hidden="1"/>
    </xf>
    <xf numFmtId="0" fontId="40" fillId="0" borderId="49" xfId="0" applyFont="1" applyBorder="1" applyAlignment="1" applyProtection="1">
      <alignment horizontal="center" vertical="center"/>
      <protection hidden="1"/>
    </xf>
    <xf numFmtId="0" fontId="41" fillId="0" borderId="0" xfId="0" applyFont="1" applyProtection="1">
      <protection hidden="1"/>
    </xf>
    <xf numFmtId="0" fontId="42" fillId="0" borderId="0" xfId="0" applyFont="1" applyProtection="1">
      <protection hidden="1"/>
    </xf>
    <xf numFmtId="0" fontId="43" fillId="0" borderId="0" xfId="0" applyFont="1" applyProtection="1">
      <protection hidden="1"/>
    </xf>
    <xf numFmtId="0" fontId="44" fillId="0" borderId="0" xfId="0" applyFont="1" applyBorder="1" applyAlignment="1" applyProtection="1">
      <alignment horizontal="center"/>
      <protection hidden="1"/>
    </xf>
    <xf numFmtId="0" fontId="43" fillId="0" borderId="0" xfId="0" applyFont="1" applyBorder="1" applyAlignment="1" applyProtection="1">
      <alignment horizontal="center"/>
      <protection hidden="1"/>
    </xf>
    <xf numFmtId="0" fontId="44" fillId="0" borderId="0" xfId="0" applyFont="1" applyAlignment="1" applyProtection="1">
      <alignment horizontal="center"/>
      <protection hidden="1"/>
    </xf>
    <xf numFmtId="0" fontId="44" fillId="0" borderId="122" xfId="0" applyFont="1" applyBorder="1" applyAlignment="1" applyProtection="1">
      <alignment horizontal="center" vertical="center"/>
      <protection hidden="1"/>
    </xf>
    <xf numFmtId="0" fontId="44" fillId="0" borderId="123" xfId="0" applyFont="1" applyBorder="1" applyAlignment="1" applyProtection="1">
      <alignment horizontal="center" vertical="center"/>
      <protection hidden="1"/>
    </xf>
    <xf numFmtId="0" fontId="44" fillId="0" borderId="124" xfId="0" applyFont="1" applyBorder="1" applyAlignment="1" applyProtection="1">
      <alignment horizontal="center" vertical="center"/>
      <protection hidden="1"/>
    </xf>
    <xf numFmtId="0" fontId="44" fillId="0" borderId="125" xfId="0" applyFont="1" applyBorder="1" applyAlignment="1" applyProtection="1">
      <alignment horizontal="center" vertical="center"/>
      <protection hidden="1"/>
    </xf>
    <xf numFmtId="0" fontId="44" fillId="0" borderId="126" xfId="0" applyFont="1" applyBorder="1" applyAlignment="1" applyProtection="1">
      <alignment horizontal="center" vertical="center"/>
      <protection hidden="1"/>
    </xf>
    <xf numFmtId="0" fontId="44" fillId="0" borderId="127" xfId="0" applyFont="1" applyBorder="1" applyAlignment="1" applyProtection="1">
      <alignment horizontal="center" vertical="center"/>
      <protection hidden="1"/>
    </xf>
    <xf numFmtId="0" fontId="44" fillId="0" borderId="128" xfId="0" applyFont="1" applyBorder="1" applyAlignment="1" applyProtection="1">
      <alignment horizontal="center" vertical="center"/>
      <protection hidden="1"/>
    </xf>
    <xf numFmtId="0" fontId="44" fillId="0" borderId="129" xfId="0" applyFont="1" applyBorder="1" applyAlignment="1" applyProtection="1">
      <alignment horizontal="center" vertical="center"/>
      <protection hidden="1"/>
    </xf>
    <xf numFmtId="0" fontId="44" fillId="0" borderId="130" xfId="0" applyFont="1" applyBorder="1" applyAlignment="1" applyProtection="1">
      <alignment horizontal="center" vertical="center"/>
      <protection hidden="1"/>
    </xf>
    <xf numFmtId="0" fontId="44" fillId="0" borderId="131" xfId="0" applyFont="1" applyBorder="1" applyAlignment="1" applyProtection="1">
      <alignment horizontal="center" vertical="center"/>
      <protection hidden="1"/>
    </xf>
    <xf numFmtId="0" fontId="44" fillId="0" borderId="132" xfId="0" applyFont="1" applyBorder="1" applyAlignment="1" applyProtection="1">
      <alignment horizontal="center" vertical="center"/>
      <protection hidden="1"/>
    </xf>
    <xf numFmtId="0" fontId="44" fillId="0" borderId="133" xfId="0" applyFont="1" applyBorder="1" applyAlignment="1" applyProtection="1">
      <alignment horizontal="center" vertical="center"/>
      <protection hidden="1"/>
    </xf>
    <xf numFmtId="0" fontId="44" fillId="0" borderId="134" xfId="0" applyFont="1" applyBorder="1" applyAlignment="1" applyProtection="1">
      <alignment horizontal="center" vertical="center"/>
      <protection hidden="1"/>
    </xf>
    <xf numFmtId="0" fontId="44" fillId="0" borderId="135" xfId="0" applyFont="1" applyBorder="1" applyAlignment="1" applyProtection="1">
      <alignment horizontal="center" vertical="center"/>
      <protection hidden="1"/>
    </xf>
    <xf numFmtId="0" fontId="44" fillId="0" borderId="136" xfId="0" applyFont="1" applyBorder="1" applyAlignment="1" applyProtection="1">
      <alignment horizontal="center" vertical="center"/>
      <protection hidden="1"/>
    </xf>
    <xf numFmtId="0" fontId="44" fillId="0" borderId="137" xfId="0" applyFont="1" applyBorder="1" applyAlignment="1" applyProtection="1">
      <alignment horizontal="center" vertical="center"/>
      <protection hidden="1"/>
    </xf>
    <xf numFmtId="0" fontId="44" fillId="0" borderId="0" xfId="0" applyFont="1" applyProtection="1">
      <protection hidden="1"/>
    </xf>
    <xf numFmtId="0" fontId="44" fillId="0" borderId="0" xfId="0" applyFont="1" applyBorder="1" applyAlignment="1" applyProtection="1">
      <alignment horizontal="center" vertical="center"/>
      <protection hidden="1"/>
    </xf>
    <xf numFmtId="0" fontId="45" fillId="0" borderId="0" xfId="0" applyFont="1"/>
    <xf numFmtId="0" fontId="0" fillId="0" borderId="0" xfId="0" applyAlignment="1" applyProtection="1">
      <alignment horizontal="center"/>
      <protection hidden="1"/>
    </xf>
    <xf numFmtId="0" fontId="0" fillId="0" borderId="55" xfId="0" applyBorder="1"/>
    <xf numFmtId="0" fontId="0" fillId="0" borderId="55" xfId="0" applyBorder="1" applyAlignment="1">
      <alignment horizontal="center"/>
    </xf>
    <xf numFmtId="0" fontId="38" fillId="0" borderId="55" xfId="8" applyBorder="1" applyAlignment="1">
      <alignment horizontal="center"/>
    </xf>
    <xf numFmtId="0" fontId="1" fillId="0" borderId="0" xfId="26" applyBorder="1" applyAlignment="1" applyProtection="1">
      <alignment horizontal="left"/>
      <protection locked="0"/>
    </xf>
    <xf numFmtId="0" fontId="38" fillId="0" borderId="0" xfId="8" applyBorder="1" applyAlignment="1">
      <alignment horizontal="center"/>
    </xf>
    <xf numFmtId="0" fontId="0" fillId="0" borderId="0" xfId="0" applyBorder="1" applyAlignment="1" applyProtection="1">
      <alignment horizontal="center"/>
      <protection locked="0"/>
    </xf>
    <xf numFmtId="0" fontId="1" fillId="0" borderId="0" xfId="26" applyBorder="1" applyAlignment="1" applyProtection="1">
      <alignment horizontal="center"/>
      <protection locked="0"/>
    </xf>
    <xf numFmtId="2" fontId="1" fillId="0" borderId="0" xfId="26" applyNumberFormat="1" applyBorder="1" applyAlignment="1" applyProtection="1">
      <alignment horizontal="center"/>
      <protection locked="0"/>
    </xf>
    <xf numFmtId="0" fontId="1" fillId="0" borderId="0" xfId="13" applyFont="1" applyFill="1" applyBorder="1" applyAlignment="1" applyProtection="1">
      <alignment horizontal="left" vertical="center"/>
      <protection locked="0"/>
    </xf>
    <xf numFmtId="0" fontId="1" fillId="0" borderId="0" xfId="13" applyFont="1" applyBorder="1" applyAlignment="1" applyProtection="1">
      <alignment horizontal="center"/>
      <protection locked="0"/>
    </xf>
    <xf numFmtId="0" fontId="1" fillId="0" borderId="0" xfId="13" applyFont="1" applyFill="1" applyBorder="1" applyAlignment="1" applyProtection="1">
      <alignment horizontal="center" vertical="center" wrapText="1"/>
      <protection locked="0"/>
    </xf>
    <xf numFmtId="2" fontId="1" fillId="0" borderId="0" xfId="13" applyNumberFormat="1" applyFont="1" applyFill="1" applyBorder="1" applyAlignment="1" applyProtection="1">
      <alignment horizontal="center" vertical="center" wrapText="1"/>
      <protection locked="0"/>
    </xf>
    <xf numFmtId="0" fontId="1" fillId="0" borderId="0" xfId="13" applyFont="1" applyFill="1" applyBorder="1" applyAlignment="1" applyProtection="1">
      <alignment horizontal="center" vertical="center"/>
      <protection locked="0"/>
    </xf>
    <xf numFmtId="0" fontId="1" fillId="0" borderId="0" xfId="13" applyFont="1" applyBorder="1" applyAlignment="1" applyProtection="1">
      <alignment horizontal="left" vertical="center"/>
      <protection locked="0"/>
    </xf>
    <xf numFmtId="0" fontId="1" fillId="0" borderId="0" xfId="13" applyFont="1" applyBorder="1" applyAlignment="1" applyProtection="1">
      <alignment horizontal="center" vertical="center"/>
      <protection locked="0"/>
    </xf>
    <xf numFmtId="0" fontId="1" fillId="0" borderId="0" xfId="13" applyFont="1" applyBorder="1" applyAlignment="1" applyProtection="1">
      <alignment horizontal="left"/>
      <protection locked="0"/>
    </xf>
    <xf numFmtId="0" fontId="1" fillId="0" borderId="0" xfId="13" applyFont="1" applyFill="1" applyBorder="1" applyAlignment="1" applyProtection="1">
      <alignment horizontal="center"/>
      <protection locked="0"/>
    </xf>
    <xf numFmtId="2" fontId="1" fillId="0" borderId="0" xfId="13" applyNumberFormat="1" applyFont="1" applyFill="1" applyBorder="1" applyAlignment="1" applyProtection="1">
      <alignment horizontal="center"/>
      <protection locked="0"/>
    </xf>
    <xf numFmtId="0" fontId="1" fillId="0" borderId="0" xfId="13" applyNumberFormat="1" applyFont="1" applyFill="1" applyBorder="1" applyAlignment="1" applyProtection="1">
      <alignment horizontal="center"/>
      <protection locked="0"/>
    </xf>
    <xf numFmtId="0" fontId="1" fillId="0" borderId="0" xfId="19" applyFont="1" applyBorder="1" applyAlignment="1" applyProtection="1">
      <alignment horizontal="left" vertical="center"/>
      <protection locked="0"/>
    </xf>
    <xf numFmtId="0" fontId="1" fillId="0" borderId="0" xfId="18" applyFont="1" applyBorder="1" applyAlignment="1" applyProtection="1">
      <alignment horizontal="center" vertical="center"/>
      <protection locked="0"/>
    </xf>
    <xf numFmtId="0" fontId="1" fillId="0" borderId="0" xfId="18" applyFont="1" applyFill="1" applyBorder="1" applyAlignment="1" applyProtection="1">
      <alignment horizontal="center" vertical="center" wrapText="1"/>
      <protection locked="0"/>
    </xf>
    <xf numFmtId="2" fontId="1" fillId="0" borderId="0" xfId="18" applyNumberFormat="1" applyFont="1" applyFill="1" applyBorder="1" applyAlignment="1" applyProtection="1">
      <alignment horizontal="center" vertical="center" wrapText="1"/>
      <protection locked="0"/>
    </xf>
    <xf numFmtId="0" fontId="1" fillId="0" borderId="0" xfId="18" applyFont="1" applyFill="1" applyBorder="1" applyAlignment="1" applyProtection="1">
      <alignment horizontal="center" vertical="center"/>
      <protection locked="0"/>
    </xf>
    <xf numFmtId="0" fontId="1" fillId="0" borderId="0" xfId="19" applyFont="1" applyBorder="1" applyAlignment="1" applyProtection="1">
      <alignment horizontal="left"/>
      <protection locked="0"/>
    </xf>
    <xf numFmtId="0" fontId="1" fillId="0" borderId="0" xfId="18" applyFont="1" applyBorder="1" applyAlignment="1" applyProtection="1">
      <alignment horizontal="center"/>
      <protection locked="0"/>
    </xf>
    <xf numFmtId="0" fontId="1" fillId="0" borderId="0" xfId="18" applyFont="1" applyFill="1" applyBorder="1" applyAlignment="1" applyProtection="1">
      <alignment horizontal="center"/>
      <protection locked="0"/>
    </xf>
    <xf numFmtId="2" fontId="1" fillId="0" borderId="0" xfId="18" applyNumberFormat="1" applyFont="1" applyFill="1" applyBorder="1" applyAlignment="1" applyProtection="1">
      <alignment horizontal="center"/>
      <protection locked="0"/>
    </xf>
    <xf numFmtId="0" fontId="1" fillId="0" borderId="0" xfId="18" applyNumberFormat="1" applyFont="1" applyFill="1" applyBorder="1" applyAlignment="1" applyProtection="1">
      <alignment horizontal="center"/>
      <protection locked="0"/>
    </xf>
    <xf numFmtId="0" fontId="1" fillId="0" borderId="0" xfId="19" applyFont="1" applyFill="1" applyBorder="1" applyAlignment="1" applyProtection="1">
      <alignment horizontal="left" vertical="center"/>
      <protection locked="0"/>
    </xf>
    <xf numFmtId="2" fontId="1" fillId="0" borderId="0" xfId="18" applyNumberFormat="1" applyFont="1" applyFill="1" applyBorder="1" applyAlignment="1" applyProtection="1">
      <alignment horizontal="center" vertical="center"/>
      <protection locked="0"/>
    </xf>
    <xf numFmtId="0" fontId="1" fillId="0" borderId="0" xfId="22" applyFont="1" applyFill="1" applyBorder="1" applyAlignment="1" applyProtection="1">
      <alignment horizontal="left" vertical="center"/>
      <protection locked="0"/>
    </xf>
    <xf numFmtId="0" fontId="1" fillId="0" borderId="0" xfId="22" applyFont="1" applyBorder="1" applyAlignment="1" applyProtection="1">
      <alignment horizontal="center"/>
      <protection locked="0"/>
    </xf>
    <xf numFmtId="0" fontId="1" fillId="0" borderId="0" xfId="22" applyFont="1" applyFill="1" applyBorder="1" applyAlignment="1" applyProtection="1">
      <alignment horizontal="center" vertical="center" wrapText="1"/>
      <protection locked="0"/>
    </xf>
    <xf numFmtId="2" fontId="1" fillId="0" borderId="0" xfId="22" applyNumberFormat="1" applyFont="1" applyFill="1" applyBorder="1" applyAlignment="1" applyProtection="1">
      <alignment horizontal="center" vertical="center" wrapText="1"/>
      <protection locked="0"/>
    </xf>
    <xf numFmtId="0" fontId="1" fillId="0" borderId="0" xfId="22" applyFont="1" applyFill="1" applyBorder="1" applyAlignment="1" applyProtection="1">
      <alignment horizontal="center" vertical="center"/>
      <protection locked="0"/>
    </xf>
    <xf numFmtId="0" fontId="1" fillId="0" borderId="0" xfId="22" applyFont="1" applyBorder="1" applyAlignment="1" applyProtection="1">
      <alignment horizontal="left" vertical="center"/>
      <protection locked="0"/>
    </xf>
    <xf numFmtId="0" fontId="1" fillId="0" borderId="0" xfId="20" applyFont="1" applyFill="1" applyBorder="1" applyAlignment="1" applyProtection="1">
      <alignment horizontal="left" vertical="center"/>
      <protection locked="0"/>
    </xf>
    <xf numFmtId="0" fontId="1" fillId="0" borderId="0" xfId="20" applyFont="1" applyBorder="1" applyAlignment="1" applyProtection="1">
      <alignment horizontal="center"/>
      <protection locked="0"/>
    </xf>
    <xf numFmtId="0" fontId="1" fillId="0" borderId="0" xfId="20" applyFont="1" applyFill="1" applyBorder="1" applyAlignment="1" applyProtection="1">
      <alignment horizontal="center" vertical="center"/>
      <protection locked="0"/>
    </xf>
    <xf numFmtId="2" fontId="1" fillId="0" borderId="0" xfId="20" applyNumberFormat="1" applyFont="1" applyFill="1" applyBorder="1" applyAlignment="1" applyProtection="1">
      <alignment horizontal="center" vertical="center"/>
      <protection locked="0"/>
    </xf>
    <xf numFmtId="0" fontId="1" fillId="0" borderId="0" xfId="20" applyFont="1" applyBorder="1" applyAlignment="1" applyProtection="1">
      <alignment horizontal="left"/>
      <protection locked="0"/>
    </xf>
    <xf numFmtId="0" fontId="1" fillId="0" borderId="0" xfId="20" applyFont="1" applyFill="1" applyBorder="1" applyAlignment="1" applyProtection="1">
      <alignment horizontal="center" vertical="top" wrapText="1"/>
      <protection locked="0"/>
    </xf>
    <xf numFmtId="0" fontId="1" fillId="0" borderId="0" xfId="20" applyFont="1" applyFill="1" applyBorder="1" applyAlignment="1" applyProtection="1">
      <alignment horizontal="center" vertical="center" wrapText="1"/>
      <protection locked="0"/>
    </xf>
    <xf numFmtId="2" fontId="1" fillId="0" borderId="0" xfId="20" applyNumberFormat="1" applyFont="1" applyFill="1" applyBorder="1" applyAlignment="1" applyProtection="1">
      <alignment horizontal="center" vertical="center" wrapText="1"/>
      <protection locked="0"/>
    </xf>
    <xf numFmtId="0" fontId="1" fillId="0" borderId="0" xfId="20" applyFont="1" applyBorder="1" applyAlignment="1" applyProtection="1">
      <alignment horizontal="left" vertical="center"/>
      <protection locked="0"/>
    </xf>
    <xf numFmtId="0" fontId="1" fillId="0" borderId="0" xfId="20" applyFont="1" applyBorder="1" applyAlignment="1" applyProtection="1">
      <alignment horizontal="center" vertical="center"/>
      <protection locked="0"/>
    </xf>
    <xf numFmtId="0" fontId="1" fillId="0" borderId="0" xfId="37" applyFont="1" applyFill="1" applyBorder="1" applyAlignment="1" applyProtection="1">
      <alignment horizontal="left" vertical="center"/>
      <protection locked="0"/>
    </xf>
    <xf numFmtId="0" fontId="1" fillId="0" borderId="0" xfId="37" applyFont="1" applyBorder="1" applyAlignment="1" applyProtection="1">
      <alignment horizontal="center"/>
      <protection locked="0"/>
    </xf>
    <xf numFmtId="0" fontId="1" fillId="0" borderId="0" xfId="37" applyFont="1" applyFill="1" applyBorder="1" applyAlignment="1" applyProtection="1">
      <alignment horizontal="center" vertical="center" wrapText="1"/>
      <protection locked="0"/>
    </xf>
    <xf numFmtId="2" fontId="1" fillId="0" borderId="0" xfId="37" applyNumberFormat="1" applyFont="1" applyFill="1" applyBorder="1" applyAlignment="1" applyProtection="1">
      <alignment horizontal="center" vertical="center" wrapText="1"/>
      <protection locked="0"/>
    </xf>
    <xf numFmtId="0" fontId="1" fillId="0" borderId="0" xfId="37" applyFont="1" applyFill="1" applyBorder="1" applyAlignment="1" applyProtection="1">
      <alignment horizontal="center" vertical="center"/>
      <protection locked="0"/>
    </xf>
    <xf numFmtId="2" fontId="1" fillId="0" borderId="0" xfId="37" applyNumberFormat="1" applyFont="1" applyFill="1" applyBorder="1" applyAlignment="1" applyProtection="1">
      <alignment horizontal="center" vertical="center"/>
      <protection locked="0"/>
    </xf>
    <xf numFmtId="0" fontId="1" fillId="0" borderId="0" xfId="37" applyFont="1" applyBorder="1" applyAlignment="1" applyProtection="1">
      <alignment horizontal="left"/>
      <protection locked="0"/>
    </xf>
    <xf numFmtId="0" fontId="1" fillId="0" borderId="0" xfId="37" applyFont="1" applyFill="1" applyBorder="1" applyAlignment="1" applyProtection="1">
      <alignment horizontal="center" vertical="top" wrapText="1"/>
      <protection locked="0"/>
    </xf>
    <xf numFmtId="0" fontId="1" fillId="0" borderId="0" xfId="37" applyFont="1" applyFill="1" applyBorder="1" applyAlignment="1" applyProtection="1">
      <alignment horizontal="center"/>
      <protection locked="0"/>
    </xf>
    <xf numFmtId="2" fontId="1" fillId="0" borderId="0" xfId="37" applyNumberFormat="1" applyFont="1" applyFill="1" applyBorder="1" applyAlignment="1" applyProtection="1">
      <alignment horizontal="center"/>
      <protection locked="0"/>
    </xf>
    <xf numFmtId="0" fontId="1" fillId="0" borderId="0" xfId="37" applyNumberFormat="1" applyFont="1" applyFill="1" applyBorder="1" applyAlignment="1" applyProtection="1">
      <alignment horizontal="center"/>
      <protection locked="0"/>
    </xf>
    <xf numFmtId="0" fontId="1" fillId="0" borderId="0" xfId="35" applyFont="1" applyFill="1" applyBorder="1" applyAlignment="1" applyProtection="1">
      <alignment horizontal="left" vertical="center"/>
      <protection locked="0"/>
    </xf>
    <xf numFmtId="0" fontId="1" fillId="0" borderId="0" xfId="35" applyFont="1" applyBorder="1" applyAlignment="1" applyProtection="1">
      <alignment horizontal="center"/>
      <protection locked="0"/>
    </xf>
    <xf numFmtId="0" fontId="1" fillId="0" borderId="0" xfId="35" applyFont="1" applyFill="1" applyBorder="1" applyAlignment="1" applyProtection="1">
      <alignment horizontal="center" vertical="center" wrapText="1"/>
      <protection locked="0"/>
    </xf>
    <xf numFmtId="2" fontId="1" fillId="0" borderId="0" xfId="35" applyNumberFormat="1" applyFont="1" applyFill="1" applyBorder="1" applyAlignment="1" applyProtection="1">
      <alignment horizontal="center" vertical="center" wrapText="1"/>
      <protection locked="0"/>
    </xf>
    <xf numFmtId="0" fontId="1" fillId="0" borderId="0" xfId="35" applyFont="1" applyFill="1" applyBorder="1" applyAlignment="1" applyProtection="1">
      <alignment horizontal="center" vertical="center"/>
      <protection locked="0"/>
    </xf>
    <xf numFmtId="0" fontId="1" fillId="0" borderId="0" xfId="35" applyFont="1" applyBorder="1" applyAlignment="1" applyProtection="1">
      <alignment horizontal="left" vertical="center"/>
      <protection locked="0"/>
    </xf>
    <xf numFmtId="0" fontId="1" fillId="0" borderId="0" xfId="35" applyFont="1" applyBorder="1" applyAlignment="1" applyProtection="1">
      <alignment horizontal="center" vertical="center"/>
      <protection locked="0"/>
    </xf>
    <xf numFmtId="0" fontId="1" fillId="0" borderId="0" xfId="35" applyFont="1" applyBorder="1" applyAlignment="1" applyProtection="1">
      <alignment horizontal="left"/>
      <protection locked="0"/>
    </xf>
    <xf numFmtId="0" fontId="1" fillId="0" borderId="0" xfId="35" applyFont="1" applyFill="1" applyBorder="1" applyAlignment="1" applyProtection="1">
      <alignment horizontal="center"/>
      <protection locked="0"/>
    </xf>
    <xf numFmtId="2" fontId="1" fillId="0" borderId="0" xfId="35" applyNumberFormat="1" applyFont="1" applyFill="1" applyBorder="1" applyAlignment="1" applyProtection="1">
      <alignment horizontal="center"/>
      <protection locked="0"/>
    </xf>
    <xf numFmtId="0" fontId="1" fillId="0" borderId="0" xfId="35" applyNumberFormat="1" applyFont="1" applyFill="1" applyBorder="1" applyAlignment="1" applyProtection="1">
      <alignment horizontal="center"/>
      <protection locked="0"/>
    </xf>
    <xf numFmtId="2" fontId="1" fillId="0" borderId="0" xfId="35" applyNumberFormat="1" applyFont="1" applyFill="1" applyBorder="1" applyAlignment="1" applyProtection="1">
      <alignment horizontal="center" vertical="center"/>
      <protection locked="0"/>
    </xf>
    <xf numFmtId="0" fontId="1" fillId="0" borderId="0" xfId="35" applyBorder="1" applyAlignment="1" applyProtection="1">
      <alignment horizontal="left"/>
      <protection locked="0"/>
    </xf>
    <xf numFmtId="0" fontId="1" fillId="0" borderId="0" xfId="35" applyBorder="1" applyAlignment="1" applyProtection="1">
      <alignment horizontal="center"/>
      <protection locked="0"/>
    </xf>
    <xf numFmtId="2" fontId="1" fillId="0" borderId="0" xfId="35" applyNumberFormat="1" applyBorder="1" applyAlignment="1" applyProtection="1">
      <alignment horizontal="center"/>
      <protection locked="0"/>
    </xf>
    <xf numFmtId="0" fontId="1" fillId="0" borderId="0" xfId="5" applyFont="1" applyFill="1" applyBorder="1" applyAlignment="1" applyProtection="1">
      <alignment horizontal="left" vertical="center"/>
      <protection locked="0"/>
    </xf>
    <xf numFmtId="0" fontId="1" fillId="0" borderId="0" xfId="5" applyFont="1" applyBorder="1" applyAlignment="1" applyProtection="1">
      <alignment horizontal="center"/>
      <protection locked="0"/>
    </xf>
    <xf numFmtId="0" fontId="1" fillId="0" borderId="0" xfId="5" applyFont="1" applyFill="1" applyBorder="1" applyAlignment="1" applyProtection="1">
      <alignment horizontal="center" vertical="center" wrapText="1"/>
      <protection locked="0"/>
    </xf>
    <xf numFmtId="2" fontId="1" fillId="0" borderId="0" xfId="5" applyNumberFormat="1" applyFont="1" applyFill="1" applyBorder="1" applyAlignment="1" applyProtection="1">
      <alignment horizontal="center" vertical="center" wrapText="1"/>
      <protection locked="0"/>
    </xf>
    <xf numFmtId="0" fontId="1" fillId="0" borderId="0" xfId="5" applyFont="1" applyFill="1" applyBorder="1" applyAlignment="1" applyProtection="1">
      <alignment horizontal="center" vertical="center"/>
      <protection locked="0"/>
    </xf>
    <xf numFmtId="0" fontId="1" fillId="0" borderId="0" xfId="5" applyFont="1" applyBorder="1" applyAlignment="1" applyProtection="1">
      <alignment horizontal="left" vertical="center"/>
      <protection locked="0"/>
    </xf>
    <xf numFmtId="0" fontId="1" fillId="0" borderId="0" xfId="5" applyFont="1" applyBorder="1" applyAlignment="1" applyProtection="1">
      <alignment horizontal="center" vertical="center"/>
      <protection locked="0"/>
    </xf>
    <xf numFmtId="0" fontId="1" fillId="0" borderId="0" xfId="7" applyFont="1" applyBorder="1" applyAlignment="1" applyProtection="1">
      <alignment horizontal="left" vertical="center"/>
      <protection locked="0"/>
    </xf>
    <xf numFmtId="0" fontId="1" fillId="0" borderId="0" xfId="7" applyFont="1" applyBorder="1" applyAlignment="1" applyProtection="1">
      <alignment horizontal="center"/>
      <protection locked="0"/>
    </xf>
    <xf numFmtId="0" fontId="1" fillId="0" borderId="0" xfId="7" applyFont="1" applyFill="1" applyBorder="1" applyAlignment="1" applyProtection="1">
      <alignment horizontal="center" vertical="center"/>
      <protection locked="0"/>
    </xf>
    <xf numFmtId="2" fontId="1" fillId="0" borderId="0" xfId="7" applyNumberFormat="1" applyFont="1" applyFill="1" applyBorder="1" applyAlignment="1" applyProtection="1">
      <alignment horizontal="center" vertical="center"/>
      <protection locked="0"/>
    </xf>
    <xf numFmtId="0" fontId="1" fillId="0" borderId="0" xfId="7" applyFont="1" applyFill="1" applyBorder="1" applyAlignment="1" applyProtection="1">
      <alignment horizontal="left" vertical="center"/>
      <protection locked="0"/>
    </xf>
    <xf numFmtId="0" fontId="1" fillId="0" borderId="0" xfId="7" applyFont="1" applyFill="1" applyBorder="1" applyAlignment="1" applyProtection="1">
      <alignment horizontal="center" vertical="center" wrapText="1"/>
      <protection locked="0"/>
    </xf>
    <xf numFmtId="2" fontId="1" fillId="0" borderId="0" xfId="7" applyNumberFormat="1" applyFont="1" applyFill="1" applyBorder="1" applyAlignment="1" applyProtection="1">
      <alignment horizontal="center" vertical="center" wrapText="1"/>
      <protection locked="0"/>
    </xf>
    <xf numFmtId="0" fontId="1" fillId="0" borderId="0" xfId="7" applyFont="1" applyBorder="1" applyAlignment="1" applyProtection="1">
      <alignment horizontal="left"/>
      <protection locked="0"/>
    </xf>
    <xf numFmtId="0" fontId="1" fillId="0" borderId="0" xfId="7" applyFont="1" applyFill="1" applyBorder="1" applyAlignment="1" applyProtection="1">
      <alignment horizontal="center" vertical="top" wrapText="1"/>
      <protection locked="0"/>
    </xf>
    <xf numFmtId="0" fontId="1" fillId="0" borderId="0" xfId="5" applyFont="1" applyFill="1" applyBorder="1" applyAlignment="1" applyProtection="1">
      <alignment horizontal="center"/>
      <protection locked="0"/>
    </xf>
    <xf numFmtId="2" fontId="1" fillId="0" borderId="0" xfId="5" applyNumberFormat="1" applyFont="1" applyFill="1" applyBorder="1" applyAlignment="1" applyProtection="1">
      <alignment horizontal="center"/>
      <protection locked="0"/>
    </xf>
    <xf numFmtId="0" fontId="1" fillId="0" borderId="0" xfId="34" applyFont="1" applyFill="1" applyBorder="1" applyAlignment="1" applyProtection="1">
      <alignment horizontal="left" vertical="center"/>
      <protection locked="0"/>
    </xf>
    <xf numFmtId="0" fontId="1" fillId="0" borderId="0" xfId="34" applyFont="1" applyBorder="1" applyAlignment="1" applyProtection="1">
      <alignment horizontal="center"/>
      <protection locked="0"/>
    </xf>
    <xf numFmtId="0" fontId="1" fillId="0" borderId="0" xfId="34" applyFont="1" applyFill="1" applyBorder="1" applyAlignment="1" applyProtection="1">
      <alignment horizontal="center" vertical="center" wrapText="1"/>
      <protection locked="0"/>
    </xf>
    <xf numFmtId="2" fontId="1" fillId="0" borderId="0" xfId="34" applyNumberFormat="1" applyFont="1" applyFill="1" applyBorder="1" applyAlignment="1" applyProtection="1">
      <alignment horizontal="center" vertical="center" wrapText="1"/>
      <protection locked="0"/>
    </xf>
    <xf numFmtId="0" fontId="1" fillId="0" borderId="0" xfId="34" applyFont="1" applyFill="1" applyBorder="1" applyAlignment="1" applyProtection="1">
      <alignment horizontal="center" vertical="center"/>
      <protection locked="0"/>
    </xf>
    <xf numFmtId="0" fontId="1" fillId="0" borderId="0" xfId="34" applyFont="1" applyBorder="1" applyAlignment="1" applyProtection="1">
      <alignment horizontal="left" vertical="center"/>
      <protection locked="0"/>
    </xf>
    <xf numFmtId="0" fontId="1" fillId="0" borderId="0" xfId="34" applyFont="1" applyBorder="1" applyAlignment="1" applyProtection="1">
      <alignment horizontal="center" vertical="center"/>
      <protection locked="0"/>
    </xf>
    <xf numFmtId="0" fontId="1" fillId="0" borderId="0" xfId="32" applyFont="1" applyBorder="1" applyAlignment="1" applyProtection="1">
      <alignment horizontal="left" vertical="center"/>
      <protection locked="0"/>
    </xf>
    <xf numFmtId="0" fontId="1" fillId="0" borderId="0" xfId="32" applyFont="1" applyBorder="1" applyAlignment="1" applyProtection="1">
      <alignment horizontal="center"/>
      <protection locked="0"/>
    </xf>
    <xf numFmtId="0" fontId="1" fillId="0" borderId="0" xfId="32" applyFont="1" applyFill="1" applyBorder="1" applyAlignment="1" applyProtection="1">
      <alignment horizontal="center" vertical="center" wrapText="1"/>
      <protection locked="0"/>
    </xf>
    <xf numFmtId="2" fontId="1" fillId="0" borderId="0" xfId="32" applyNumberFormat="1" applyFont="1" applyFill="1" applyBorder="1" applyAlignment="1" applyProtection="1">
      <alignment horizontal="center" vertical="center" wrapText="1"/>
      <protection locked="0"/>
    </xf>
    <xf numFmtId="0" fontId="1" fillId="0" borderId="0" xfId="32" applyFont="1" applyFill="1" applyBorder="1" applyAlignment="1" applyProtection="1">
      <alignment horizontal="center" vertical="center"/>
      <protection locked="0"/>
    </xf>
    <xf numFmtId="0" fontId="1" fillId="0" borderId="0" xfId="32" applyFont="1" applyFill="1" applyBorder="1" applyAlignment="1" applyProtection="1">
      <alignment horizontal="left" vertical="center"/>
      <protection locked="0"/>
    </xf>
    <xf numFmtId="2" fontId="1" fillId="0" borderId="0" xfId="32" applyNumberFormat="1" applyFont="1" applyFill="1" applyBorder="1" applyAlignment="1" applyProtection="1">
      <alignment horizontal="center" vertical="center"/>
      <protection locked="0"/>
    </xf>
    <xf numFmtId="0" fontId="1" fillId="0" borderId="0" xfId="32" applyFont="1" applyBorder="1" applyAlignment="1" applyProtection="1">
      <alignment horizontal="left"/>
      <protection locked="0"/>
    </xf>
    <xf numFmtId="0" fontId="1" fillId="0" borderId="0" xfId="32" applyFont="1" applyFill="1" applyBorder="1" applyAlignment="1" applyProtection="1">
      <alignment horizontal="center" vertical="top" wrapText="1"/>
      <protection locked="0"/>
    </xf>
    <xf numFmtId="0" fontId="1" fillId="0" borderId="0" xfId="31" applyFont="1" applyBorder="1" applyAlignment="1" applyProtection="1">
      <alignment horizontal="left" vertical="center"/>
      <protection locked="0"/>
    </xf>
    <xf numFmtId="0" fontId="1" fillId="0" borderId="0" xfId="31" applyFont="1" applyBorder="1" applyAlignment="1" applyProtection="1">
      <alignment horizontal="center"/>
      <protection locked="0"/>
    </xf>
    <xf numFmtId="0" fontId="1" fillId="0" borderId="0" xfId="31" applyFont="1" applyFill="1" applyBorder="1" applyAlignment="1" applyProtection="1">
      <alignment horizontal="center" vertical="center" wrapText="1"/>
      <protection locked="0"/>
    </xf>
    <xf numFmtId="2" fontId="1" fillId="0" borderId="0" xfId="31" applyNumberFormat="1" applyFont="1" applyFill="1" applyBorder="1" applyAlignment="1" applyProtection="1">
      <alignment horizontal="center" vertical="center" wrapText="1"/>
      <protection locked="0"/>
    </xf>
    <xf numFmtId="0" fontId="1" fillId="0" borderId="0" xfId="31" applyFont="1" applyFill="1" applyBorder="1" applyAlignment="1" applyProtection="1">
      <alignment horizontal="center" vertical="center"/>
      <protection locked="0"/>
    </xf>
    <xf numFmtId="0" fontId="1" fillId="0" borderId="0" xfId="31" applyFont="1" applyFill="1" applyBorder="1" applyAlignment="1" applyProtection="1">
      <alignment horizontal="left" vertical="center"/>
      <protection locked="0"/>
    </xf>
    <xf numFmtId="2" fontId="1" fillId="0" borderId="0" xfId="31" applyNumberFormat="1" applyFont="1" applyFill="1" applyBorder="1" applyAlignment="1" applyProtection="1">
      <alignment horizontal="center" vertical="center"/>
      <protection locked="0"/>
    </xf>
    <xf numFmtId="0" fontId="1" fillId="0" borderId="0" xfId="29" applyFont="1" applyFill="1" applyBorder="1" applyAlignment="1" applyProtection="1">
      <alignment horizontal="left" vertical="center"/>
      <protection locked="0"/>
    </xf>
    <xf numFmtId="0" fontId="1" fillId="0" borderId="0" xfId="29" applyFont="1" applyBorder="1" applyAlignment="1" applyProtection="1">
      <alignment horizontal="center"/>
      <protection locked="0"/>
    </xf>
    <xf numFmtId="0" fontId="1" fillId="0" borderId="0" xfId="29" applyFont="1" applyFill="1" applyBorder="1" applyAlignment="1" applyProtection="1">
      <alignment horizontal="center" vertical="center" wrapText="1"/>
      <protection locked="0"/>
    </xf>
    <xf numFmtId="2" fontId="1" fillId="0" borderId="0" xfId="29" applyNumberFormat="1" applyFont="1" applyFill="1" applyBorder="1" applyAlignment="1" applyProtection="1">
      <alignment horizontal="center" vertical="center" wrapText="1"/>
      <protection locked="0"/>
    </xf>
    <xf numFmtId="0" fontId="1" fillId="0" borderId="0" xfId="29" applyFont="1" applyFill="1" applyBorder="1" applyAlignment="1" applyProtection="1">
      <alignment horizontal="center" vertical="center"/>
      <protection locked="0"/>
    </xf>
    <xf numFmtId="0" fontId="1" fillId="0" borderId="0" xfId="29" applyFont="1" applyBorder="1" applyAlignment="1" applyProtection="1">
      <alignment horizontal="left" vertical="center"/>
      <protection locked="0"/>
    </xf>
    <xf numFmtId="0" fontId="1" fillId="0" borderId="0" xfId="29" applyFont="1" applyBorder="1" applyAlignment="1" applyProtection="1">
      <alignment horizontal="center" vertical="center"/>
      <protection locked="0"/>
    </xf>
    <xf numFmtId="2" fontId="1" fillId="0" borderId="0" xfId="29" applyNumberFormat="1" applyFont="1" applyFill="1" applyBorder="1" applyAlignment="1" applyProtection="1">
      <alignment horizontal="center" vertical="center"/>
      <protection locked="0"/>
    </xf>
    <xf numFmtId="0" fontId="1" fillId="0" borderId="0" xfId="29" applyFont="1" applyBorder="1" applyAlignment="1" applyProtection="1">
      <alignment horizontal="left"/>
      <protection locked="0"/>
    </xf>
    <xf numFmtId="0" fontId="1" fillId="0" borderId="0" xfId="29" applyFont="1" applyFill="1" applyBorder="1" applyAlignment="1" applyProtection="1">
      <alignment horizontal="center" vertical="top" wrapText="1"/>
      <protection locked="0"/>
    </xf>
    <xf numFmtId="0" fontId="1" fillId="0" borderId="0" xfId="40" applyFont="1" applyBorder="1" applyAlignment="1" applyProtection="1">
      <alignment horizontal="left" vertical="center"/>
      <protection locked="0"/>
    </xf>
    <xf numFmtId="0" fontId="1" fillId="0" borderId="0" xfId="40" applyFont="1" applyBorder="1" applyAlignment="1" applyProtection="1">
      <alignment horizontal="center"/>
      <protection locked="0"/>
    </xf>
    <xf numFmtId="0" fontId="1" fillId="0" borderId="0" xfId="40" applyFont="1" applyFill="1" applyBorder="1" applyAlignment="1" applyProtection="1">
      <alignment horizontal="center" vertical="center" wrapText="1"/>
      <protection locked="0"/>
    </xf>
    <xf numFmtId="2" fontId="1" fillId="0" borderId="0" xfId="40" applyNumberFormat="1" applyFont="1" applyFill="1" applyBorder="1" applyAlignment="1" applyProtection="1">
      <alignment horizontal="center" vertical="center" wrapText="1"/>
      <protection locked="0"/>
    </xf>
    <xf numFmtId="0" fontId="1" fillId="0" borderId="0" xfId="40" applyFont="1" applyFill="1" applyBorder="1" applyAlignment="1" applyProtection="1">
      <alignment horizontal="center" vertical="center"/>
      <protection locked="0"/>
    </xf>
    <xf numFmtId="2" fontId="1" fillId="0" borderId="0" xfId="40" applyNumberFormat="1" applyFont="1" applyFill="1" applyBorder="1" applyAlignment="1" applyProtection="1">
      <alignment horizontal="center" vertical="center"/>
      <protection locked="0"/>
    </xf>
    <xf numFmtId="0" fontId="1" fillId="0" borderId="0" xfId="40" applyFont="1" applyBorder="1" applyAlignment="1" applyProtection="1">
      <alignment horizontal="left"/>
      <protection locked="0"/>
    </xf>
    <xf numFmtId="0" fontId="1" fillId="0" borderId="0" xfId="40" applyFont="1" applyFill="1" applyBorder="1" applyAlignment="1" applyProtection="1">
      <alignment horizontal="center"/>
      <protection locked="0"/>
    </xf>
    <xf numFmtId="2" fontId="1" fillId="0" borderId="0" xfId="40" applyNumberFormat="1" applyFont="1" applyFill="1" applyBorder="1" applyAlignment="1" applyProtection="1">
      <alignment horizontal="center"/>
      <protection locked="0"/>
    </xf>
    <xf numFmtId="0" fontId="1" fillId="0" borderId="0" xfId="40" applyNumberFormat="1" applyFont="1" applyFill="1" applyBorder="1" applyAlignment="1" applyProtection="1">
      <alignment horizontal="center"/>
      <protection locked="0"/>
    </xf>
    <xf numFmtId="0" fontId="1" fillId="0" borderId="0" xfId="38" applyFont="1" applyBorder="1" applyAlignment="1" applyProtection="1">
      <alignment horizontal="left" vertical="center"/>
      <protection locked="0"/>
    </xf>
    <xf numFmtId="0" fontId="1" fillId="0" borderId="0" xfId="38" applyFont="1" applyBorder="1" applyAlignment="1" applyProtection="1">
      <alignment horizontal="center"/>
      <protection locked="0"/>
    </xf>
    <xf numFmtId="0" fontId="1" fillId="0" borderId="0" xfId="38" applyFont="1" applyFill="1" applyBorder="1" applyAlignment="1" applyProtection="1">
      <alignment horizontal="center" vertical="center" wrapText="1"/>
      <protection locked="0"/>
    </xf>
    <xf numFmtId="2" fontId="1" fillId="0" borderId="0" xfId="38" applyNumberFormat="1" applyFont="1" applyFill="1" applyBorder="1" applyAlignment="1" applyProtection="1">
      <alignment horizontal="center" vertical="center" wrapText="1"/>
      <protection locked="0"/>
    </xf>
    <xf numFmtId="0" fontId="1" fillId="0" borderId="0" xfId="38" applyFont="1" applyFill="1" applyBorder="1" applyAlignment="1" applyProtection="1">
      <alignment horizontal="center" vertical="center"/>
      <protection locked="0"/>
    </xf>
    <xf numFmtId="0" fontId="1" fillId="0" borderId="0" xfId="38" applyFont="1" applyFill="1" applyBorder="1" applyAlignment="1" applyProtection="1">
      <alignment horizontal="left" vertical="center"/>
      <protection locked="0"/>
    </xf>
    <xf numFmtId="2" fontId="1" fillId="0" borderId="0" xfId="38" applyNumberFormat="1" applyFont="1" applyFill="1" applyBorder="1" applyAlignment="1" applyProtection="1">
      <alignment horizontal="center" vertical="center"/>
      <protection locked="0"/>
    </xf>
    <xf numFmtId="0" fontId="1" fillId="0" borderId="0" xfId="38" applyFont="1" applyBorder="1" applyAlignment="1" applyProtection="1">
      <alignment horizontal="left"/>
      <protection locked="0"/>
    </xf>
    <xf numFmtId="0" fontId="1" fillId="0" borderId="0" xfId="38" applyFont="1" applyFill="1" applyBorder="1" applyAlignment="1" applyProtection="1">
      <alignment horizontal="center"/>
      <protection locked="0"/>
    </xf>
    <xf numFmtId="2" fontId="1" fillId="0" borderId="0" xfId="38" applyNumberFormat="1" applyFont="1" applyFill="1" applyBorder="1" applyAlignment="1" applyProtection="1">
      <alignment horizontal="center"/>
      <protection locked="0"/>
    </xf>
    <xf numFmtId="0" fontId="1" fillId="0" borderId="0" xfId="38" applyNumberFormat="1" applyFont="1" applyFill="1" applyBorder="1" applyAlignment="1" applyProtection="1">
      <alignment horizontal="center"/>
      <protection locked="0"/>
    </xf>
    <xf numFmtId="0" fontId="1" fillId="0" borderId="0" xfId="38" applyFont="1" applyBorder="1" applyAlignment="1" applyProtection="1">
      <alignment horizontal="center" vertical="center"/>
      <protection locked="0"/>
    </xf>
    <xf numFmtId="0" fontId="1" fillId="0" borderId="0" xfId="4" applyFont="1" applyFill="1" applyBorder="1" applyAlignment="1" applyProtection="1">
      <alignment horizontal="left" vertical="center"/>
      <protection locked="0"/>
    </xf>
    <xf numFmtId="0" fontId="1" fillId="0" borderId="0" xfId="4" applyFont="1" applyBorder="1" applyAlignment="1" applyProtection="1">
      <alignment horizontal="center"/>
      <protection locked="0"/>
    </xf>
    <xf numFmtId="0" fontId="1" fillId="0" borderId="0" xfId="4" applyFont="1" applyFill="1" applyBorder="1" applyAlignment="1" applyProtection="1">
      <alignment horizontal="center" vertical="center" wrapText="1"/>
      <protection locked="0"/>
    </xf>
    <xf numFmtId="2" fontId="1" fillId="0" borderId="0" xfId="4" applyNumberFormat="1" applyFont="1" applyFill="1" applyBorder="1" applyAlignment="1" applyProtection="1">
      <alignment horizontal="center" vertical="center" wrapText="1"/>
      <protection locked="0"/>
    </xf>
    <xf numFmtId="0" fontId="1" fillId="0" borderId="0" xfId="4" applyFont="1" applyFill="1" applyBorder="1" applyAlignment="1" applyProtection="1">
      <alignment horizontal="center" vertical="center"/>
      <protection locked="0"/>
    </xf>
    <xf numFmtId="0" fontId="1" fillId="0" borderId="0" xfId="2" applyFont="1" applyFill="1" applyBorder="1" applyAlignment="1" applyProtection="1">
      <alignment horizontal="left" vertical="center"/>
      <protection locked="0"/>
    </xf>
    <xf numFmtId="0" fontId="1" fillId="0" borderId="0" xfId="2" applyFont="1" applyBorder="1" applyAlignment="1" applyProtection="1">
      <alignment horizontal="center"/>
      <protection locked="0"/>
    </xf>
    <xf numFmtId="0" fontId="1" fillId="0" borderId="0" xfId="2" applyFont="1" applyFill="1" applyBorder="1" applyAlignment="1" applyProtection="1">
      <alignment horizontal="center" vertical="center" wrapText="1"/>
      <protection locked="0"/>
    </xf>
    <xf numFmtId="2" fontId="1" fillId="0" borderId="0" xfId="2" applyNumberFormat="1" applyFont="1" applyFill="1" applyBorder="1" applyAlignment="1" applyProtection="1">
      <alignment horizontal="center" vertical="center" wrapText="1"/>
      <protection locked="0"/>
    </xf>
    <xf numFmtId="0" fontId="1" fillId="0" borderId="0" xfId="2" applyFont="1" applyFill="1" applyBorder="1" applyAlignment="1" applyProtection="1">
      <alignment horizontal="center" vertical="center"/>
      <protection locked="0"/>
    </xf>
    <xf numFmtId="0" fontId="1" fillId="0" borderId="0" xfId="2" applyFont="1" applyBorder="1" applyAlignment="1" applyProtection="1">
      <alignment horizontal="left" vertical="center"/>
      <protection locked="0"/>
    </xf>
    <xf numFmtId="0" fontId="1" fillId="0" borderId="0" xfId="2" applyFont="1" applyBorder="1" applyAlignment="1" applyProtection="1">
      <alignment horizontal="center" vertical="center"/>
      <protection locked="0"/>
    </xf>
    <xf numFmtId="0" fontId="1" fillId="0" borderId="0" xfId="2" applyFont="1" applyFill="1" applyBorder="1" applyAlignment="1" applyProtection="1">
      <alignment horizontal="center"/>
      <protection locked="0"/>
    </xf>
    <xf numFmtId="2" fontId="1" fillId="0" borderId="0" xfId="2" applyNumberFormat="1" applyFont="1" applyFill="1" applyBorder="1" applyAlignment="1" applyProtection="1">
      <alignment horizontal="center"/>
      <protection locked="0"/>
    </xf>
    <xf numFmtId="2" fontId="1" fillId="0" borderId="0" xfId="2" applyNumberFormat="1" applyFont="1" applyFill="1" applyBorder="1" applyAlignment="1" applyProtection="1">
      <alignment horizontal="center" vertical="center"/>
      <protection locked="0"/>
    </xf>
    <xf numFmtId="0" fontId="1" fillId="0" borderId="0" xfId="2" applyFont="1" applyBorder="1" applyAlignment="1" applyProtection="1">
      <alignment horizontal="left"/>
      <protection locked="0"/>
    </xf>
    <xf numFmtId="0" fontId="1" fillId="0" borderId="0" xfId="2" applyNumberFormat="1" applyFont="1" applyFill="1" applyBorder="1" applyAlignment="1" applyProtection="1">
      <alignment horizontal="center"/>
      <protection locked="0"/>
    </xf>
    <xf numFmtId="0" fontId="0" fillId="0" borderId="0" xfId="0" applyBorder="1" applyAlignment="1" applyProtection="1">
      <alignment horizontal="left"/>
      <protection locked="0"/>
    </xf>
    <xf numFmtId="2" fontId="0" fillId="0" borderId="0" xfId="0" applyNumberFormat="1" applyBorder="1" applyAlignment="1" applyProtection="1">
      <alignment horizontal="center"/>
      <protection locked="0"/>
    </xf>
    <xf numFmtId="0" fontId="24" fillId="0" borderId="0" xfId="0" applyFont="1" applyBorder="1"/>
    <xf numFmtId="0" fontId="25" fillId="0" borderId="0" xfId="1" applyFont="1" applyBorder="1" applyAlignment="1" applyProtection="1"/>
    <xf numFmtId="0" fontId="45" fillId="0" borderId="0" xfId="0" applyFont="1" applyAlignment="1">
      <alignment wrapText="1"/>
    </xf>
    <xf numFmtId="0" fontId="46" fillId="0" borderId="138" xfId="0" applyFont="1" applyBorder="1" applyAlignment="1">
      <alignment horizontal="center" vertical="center"/>
    </xf>
    <xf numFmtId="0" fontId="47" fillId="0" borderId="0" xfId="0" applyFont="1"/>
    <xf numFmtId="0" fontId="48" fillId="5" borderId="139" xfId="0" applyFont="1" applyFill="1" applyBorder="1" applyAlignment="1">
      <alignment horizontal="center" vertical="center"/>
    </xf>
    <xf numFmtId="0" fontId="48" fillId="5" borderId="140" xfId="0" applyFont="1" applyFill="1" applyBorder="1" applyAlignment="1">
      <alignment horizontal="center" vertical="center"/>
    </xf>
    <xf numFmtId="0" fontId="48" fillId="5" borderId="141" xfId="0" applyFont="1" applyFill="1" applyBorder="1" applyAlignment="1">
      <alignment horizontal="center" vertical="center"/>
    </xf>
    <xf numFmtId="0" fontId="48" fillId="5" borderId="142" xfId="0" applyFont="1" applyFill="1" applyBorder="1" applyAlignment="1">
      <alignment horizontal="center" vertical="center"/>
    </xf>
    <xf numFmtId="0" fontId="48" fillId="5" borderId="140" xfId="0" applyFont="1" applyFill="1" applyBorder="1" applyAlignment="1" applyProtection="1">
      <alignment horizontal="center" vertical="center"/>
      <protection hidden="1"/>
    </xf>
    <xf numFmtId="0" fontId="48" fillId="5" borderId="143" xfId="0" applyFont="1" applyFill="1" applyBorder="1" applyAlignment="1" applyProtection="1">
      <alignment horizontal="center" vertical="center"/>
      <protection hidden="1"/>
    </xf>
    <xf numFmtId="0" fontId="0" fillId="0" borderId="0" xfId="0" applyAlignment="1">
      <alignment horizontal="left" vertical="center"/>
    </xf>
    <xf numFmtId="0" fontId="9" fillId="0" borderId="0" xfId="0" applyFont="1" applyAlignment="1">
      <alignment horizontal="left" vertical="center"/>
    </xf>
    <xf numFmtId="0" fontId="9" fillId="0" borderId="0" xfId="0" applyFont="1" applyAlignment="1"/>
    <xf numFmtId="0" fontId="9" fillId="0" borderId="0" xfId="0" applyFont="1" applyBorder="1" applyAlignment="1"/>
    <xf numFmtId="0" fontId="9" fillId="0" borderId="0" xfId="0" applyFont="1" applyBorder="1" applyAlignment="1">
      <alignment horizontal="left" vertical="top"/>
    </xf>
    <xf numFmtId="0" fontId="0" fillId="0" borderId="0" xfId="0" applyAlignment="1">
      <alignment horizontal="left" vertical="top"/>
    </xf>
    <xf numFmtId="0" fontId="30" fillId="0" borderId="0" xfId="1" applyFont="1" applyAlignment="1" applyProtection="1"/>
    <xf numFmtId="0" fontId="9" fillId="0" borderId="0" xfId="0" applyFont="1" applyBorder="1" applyAlignment="1">
      <alignment horizontal="left"/>
    </xf>
    <xf numFmtId="0" fontId="24" fillId="0" borderId="0" xfId="0" applyFont="1" applyAlignment="1">
      <alignment wrapText="1"/>
    </xf>
    <xf numFmtId="0" fontId="45" fillId="0" borderId="0" xfId="0" applyFont="1" applyAlignment="1"/>
    <xf numFmtId="0" fontId="24" fillId="0" borderId="0" xfId="0" applyFont="1" applyAlignment="1">
      <alignment horizontal="left" wrapText="1"/>
    </xf>
    <xf numFmtId="0" fontId="30" fillId="0" borderId="0" xfId="1" applyFont="1" applyAlignment="1" applyProtection="1">
      <alignment wrapText="1"/>
    </xf>
    <xf numFmtId="0" fontId="48" fillId="5" borderId="0" xfId="0" applyFont="1" applyFill="1" applyBorder="1" applyAlignment="1">
      <alignment horizontal="center" vertical="center"/>
    </xf>
    <xf numFmtId="0" fontId="48" fillId="5" borderId="144" xfId="0" applyFont="1" applyFill="1" applyBorder="1" applyAlignment="1" applyProtection="1">
      <alignment horizontal="center" vertical="center"/>
      <protection hidden="1"/>
    </xf>
    <xf numFmtId="0" fontId="38" fillId="0" borderId="56" xfId="8" applyBorder="1" applyAlignment="1" applyProtection="1">
      <alignment horizontal="center"/>
      <protection locked="0"/>
    </xf>
    <xf numFmtId="0" fontId="38" fillId="0" borderId="57" xfId="8" applyBorder="1" applyAlignment="1" applyProtection="1">
      <alignment horizontal="center"/>
      <protection locked="0"/>
    </xf>
    <xf numFmtId="0" fontId="38" fillId="0" borderId="58" xfId="8" applyBorder="1" applyAlignment="1" applyProtection="1">
      <alignment horizontal="center"/>
      <protection locked="0"/>
    </xf>
    <xf numFmtId="0" fontId="20" fillId="2" borderId="0" xfId="0" applyFont="1" applyFill="1" applyBorder="1" applyAlignment="1" applyProtection="1">
      <alignment horizontal="center" textRotation="90" wrapText="1"/>
      <protection hidden="1"/>
    </xf>
    <xf numFmtId="0" fontId="1" fillId="0" borderId="0" xfId="0" applyFont="1" applyProtection="1">
      <protection hidden="1"/>
    </xf>
    <xf numFmtId="0" fontId="49" fillId="6" borderId="52" xfId="0" applyFont="1" applyFill="1" applyBorder="1" applyAlignment="1" applyProtection="1">
      <alignment horizontal="center" vertical="center"/>
      <protection hidden="1"/>
    </xf>
    <xf numFmtId="0" fontId="50" fillId="6" borderId="52" xfId="0" applyFont="1" applyFill="1" applyBorder="1" applyAlignment="1" applyProtection="1">
      <alignment horizontal="center" vertical="center"/>
      <protection hidden="1"/>
    </xf>
    <xf numFmtId="0" fontId="50" fillId="6" borderId="59" xfId="0" applyFont="1" applyFill="1" applyBorder="1" applyAlignment="1">
      <alignment horizontal="center" vertical="center"/>
    </xf>
    <xf numFmtId="0" fontId="1" fillId="0" borderId="0" xfId="0" applyFont="1" applyBorder="1"/>
    <xf numFmtId="0" fontId="32" fillId="0" borderId="0" xfId="1" applyFont="1" applyBorder="1" applyAlignment="1" applyProtection="1"/>
    <xf numFmtId="0" fontId="33" fillId="0" borderId="0" xfId="0" applyFont="1"/>
    <xf numFmtId="0" fontId="51" fillId="0" borderId="0" xfId="0" applyFont="1" applyAlignment="1"/>
    <xf numFmtId="0" fontId="51" fillId="0" borderId="145" xfId="0" applyFont="1" applyBorder="1" applyAlignment="1">
      <alignment horizontal="center" vertical="center"/>
    </xf>
    <xf numFmtId="0" fontId="51" fillId="0" borderId="145" xfId="0" applyFont="1" applyBorder="1"/>
    <xf numFmtId="0" fontId="51" fillId="0" borderId="146" xfId="0" applyFont="1" applyBorder="1" applyAlignment="1">
      <alignment horizontal="center" vertical="center" wrapText="1"/>
    </xf>
    <xf numFmtId="0" fontId="51" fillId="0" borderId="147" xfId="0" applyFont="1" applyBorder="1" applyAlignment="1">
      <alignment horizontal="center" vertical="center"/>
    </xf>
    <xf numFmtId="0" fontId="51" fillId="0" borderId="146" xfId="0" applyFont="1" applyBorder="1" applyAlignment="1">
      <alignment horizontal="center" vertical="center"/>
    </xf>
    <xf numFmtId="0" fontId="51" fillId="0" borderId="146" xfId="0" applyFont="1" applyBorder="1"/>
    <xf numFmtId="0" fontId="52" fillId="0" borderId="0" xfId="0" applyFont="1" applyAlignment="1">
      <alignment wrapText="1"/>
    </xf>
    <xf numFmtId="0" fontId="45" fillId="0" borderId="0" xfId="0" applyFont="1" applyAlignment="1">
      <alignment wrapText="1"/>
    </xf>
    <xf numFmtId="0" fontId="51" fillId="0" borderId="145" xfId="0" applyFont="1" applyBorder="1" applyAlignment="1">
      <alignment wrapText="1"/>
    </xf>
    <xf numFmtId="0" fontId="51" fillId="0" borderId="147" xfId="0" applyFont="1" applyBorder="1" applyAlignment="1">
      <alignment horizontal="center" vertical="center" wrapText="1"/>
    </xf>
    <xf numFmtId="0" fontId="51" fillId="0" borderId="145" xfId="0" applyFont="1" applyBorder="1" applyAlignment="1">
      <alignment horizontal="center" vertical="center" wrapText="1"/>
    </xf>
    <xf numFmtId="0" fontId="53" fillId="0" borderId="0" xfId="0" applyFont="1" applyAlignment="1"/>
    <xf numFmtId="0" fontId="51" fillId="0" borderId="146" xfId="0" applyFont="1" applyBorder="1" applyAlignment="1">
      <alignment wrapText="1"/>
    </xf>
    <xf numFmtId="0" fontId="51" fillId="0" borderId="147" xfId="0" applyFont="1" applyBorder="1" applyAlignment="1">
      <alignment wrapText="1"/>
    </xf>
    <xf numFmtId="0" fontId="54" fillId="0" borderId="0" xfId="0" applyFont="1" applyAlignment="1">
      <alignment wrapText="1"/>
    </xf>
    <xf numFmtId="0" fontId="40" fillId="4" borderId="25" xfId="0" applyFont="1" applyFill="1" applyBorder="1" applyAlignment="1" applyProtection="1">
      <alignment horizontal="center" vertical="center"/>
      <protection hidden="1"/>
    </xf>
    <xf numFmtId="0" fontId="46" fillId="0" borderId="131" xfId="0" applyFont="1" applyBorder="1" applyAlignment="1">
      <alignment horizontal="center" vertical="center" wrapText="1"/>
    </xf>
    <xf numFmtId="0" fontId="34" fillId="0" borderId="0" xfId="0" applyFont="1"/>
    <xf numFmtId="0" fontId="35" fillId="0" borderId="0" xfId="0" applyFont="1"/>
    <xf numFmtId="0" fontId="1" fillId="0" borderId="60" xfId="0" applyFont="1" applyBorder="1"/>
    <xf numFmtId="0" fontId="34" fillId="0" borderId="60" xfId="0" applyFont="1" applyBorder="1"/>
    <xf numFmtId="0" fontId="35" fillId="0" borderId="60" xfId="0" applyFont="1" applyBorder="1"/>
    <xf numFmtId="0" fontId="20" fillId="2" borderId="55" xfId="0" applyFont="1" applyFill="1" applyBorder="1" applyAlignment="1" applyProtection="1">
      <alignment horizontal="center" textRotation="90" wrapText="1"/>
      <protection hidden="1"/>
    </xf>
    <xf numFmtId="0" fontId="20" fillId="2" borderId="61" xfId="0" applyFont="1" applyFill="1" applyBorder="1" applyAlignment="1" applyProtection="1">
      <alignment horizontal="center" textRotation="90" wrapText="1"/>
      <protection hidden="1"/>
    </xf>
    <xf numFmtId="0" fontId="20" fillId="2" borderId="55" xfId="0" applyNumberFormat="1" applyFont="1" applyFill="1" applyBorder="1" applyAlignment="1" applyProtection="1">
      <alignment horizontal="center" textRotation="90" wrapText="1"/>
      <protection hidden="1"/>
    </xf>
    <xf numFmtId="0" fontId="20" fillId="2" borderId="0" xfId="0" applyNumberFormat="1" applyFont="1" applyFill="1" applyBorder="1" applyAlignment="1" applyProtection="1">
      <alignment horizontal="center" textRotation="90" wrapText="1"/>
      <protection hidden="1"/>
    </xf>
    <xf numFmtId="1" fontId="39" fillId="0" borderId="0" xfId="0" applyNumberFormat="1" applyFont="1" applyBorder="1"/>
    <xf numFmtId="1" fontId="39" fillId="0" borderId="21" xfId="0" applyNumberFormat="1" applyFont="1" applyBorder="1" applyAlignment="1" applyProtection="1">
      <alignment horizontal="center"/>
      <protection hidden="1"/>
    </xf>
    <xf numFmtId="1" fontId="40" fillId="4" borderId="23" xfId="0" applyNumberFormat="1" applyFont="1" applyFill="1" applyBorder="1" applyAlignment="1" applyProtection="1">
      <alignment horizontal="center" vertical="center"/>
      <protection hidden="1"/>
    </xf>
    <xf numFmtId="1" fontId="39" fillId="0" borderId="18" xfId="0" applyNumberFormat="1" applyFont="1" applyBorder="1" applyAlignment="1" applyProtection="1">
      <alignment horizontal="center"/>
      <protection hidden="1"/>
    </xf>
    <xf numFmtId="1" fontId="39" fillId="0" borderId="22" xfId="0" applyNumberFormat="1" applyFont="1" applyBorder="1" applyAlignment="1" applyProtection="1">
      <alignment horizontal="center"/>
      <protection hidden="1"/>
    </xf>
    <xf numFmtId="1" fontId="40" fillId="4" borderId="24" xfId="0" applyNumberFormat="1" applyFont="1" applyFill="1" applyBorder="1" applyAlignment="1" applyProtection="1">
      <alignment horizontal="center" vertical="center"/>
      <protection hidden="1"/>
    </xf>
    <xf numFmtId="1" fontId="39" fillId="0" borderId="20" xfId="0" applyNumberFormat="1" applyFont="1" applyBorder="1" applyAlignment="1" applyProtection="1">
      <alignment horizontal="center"/>
      <protection hidden="1"/>
    </xf>
    <xf numFmtId="1" fontId="40" fillId="4" borderId="25" xfId="0" applyNumberFormat="1" applyFont="1" applyFill="1" applyBorder="1" applyAlignment="1" applyProtection="1">
      <alignment horizontal="center" vertical="center"/>
      <protection hidden="1"/>
    </xf>
    <xf numFmtId="1" fontId="39" fillId="0" borderId="0" xfId="0" applyNumberFormat="1" applyFont="1" applyBorder="1" applyAlignment="1">
      <alignment horizontal="right"/>
    </xf>
    <xf numFmtId="1" fontId="39" fillId="0" borderId="26" xfId="0" applyNumberFormat="1" applyFont="1" applyBorder="1" applyAlignment="1" applyProtection="1">
      <alignment horizontal="center"/>
      <protection hidden="1"/>
    </xf>
    <xf numFmtId="1" fontId="40" fillId="4" borderId="27" xfId="0" applyNumberFormat="1" applyFont="1" applyFill="1" applyBorder="1" applyAlignment="1" applyProtection="1">
      <alignment horizontal="center" vertical="center"/>
      <protection hidden="1"/>
    </xf>
    <xf numFmtId="1" fontId="39" fillId="0" borderId="28" xfId="0" applyNumberFormat="1" applyFont="1" applyBorder="1" applyAlignment="1" applyProtection="1">
      <alignment horizontal="center"/>
      <protection hidden="1"/>
    </xf>
    <xf numFmtId="1" fontId="40" fillId="4" borderId="29" xfId="0" applyNumberFormat="1" applyFont="1" applyFill="1" applyBorder="1" applyAlignment="1" applyProtection="1">
      <alignment horizontal="center" vertical="center"/>
      <protection hidden="1"/>
    </xf>
    <xf numFmtId="1" fontId="40" fillId="4" borderId="30" xfId="0" applyNumberFormat="1" applyFont="1" applyFill="1" applyBorder="1" applyAlignment="1" applyProtection="1">
      <alignment horizontal="center" vertical="center"/>
      <protection hidden="1"/>
    </xf>
    <xf numFmtId="1" fontId="39" fillId="0" borderId="36" xfId="0" applyNumberFormat="1" applyFont="1" applyBorder="1"/>
    <xf numFmtId="1" fontId="39" fillId="0" borderId="47" xfId="0" applyNumberFormat="1" applyFont="1" applyBorder="1" applyAlignment="1" applyProtection="1">
      <alignment horizontal="center"/>
      <protection hidden="1"/>
    </xf>
    <xf numFmtId="1" fontId="39" fillId="0" borderId="46" xfId="0" applyNumberFormat="1" applyFont="1" applyBorder="1" applyAlignment="1" applyProtection="1">
      <alignment horizontal="center"/>
      <protection hidden="1"/>
    </xf>
    <xf numFmtId="0" fontId="39" fillId="6" borderId="52" xfId="0"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20"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39" fillId="0" borderId="0" xfId="0" applyFont="1" applyFill="1" applyBorder="1" applyAlignment="1" applyProtection="1">
      <alignment horizontal="center"/>
      <protection hidden="1"/>
    </xf>
    <xf numFmtId="165" fontId="39" fillId="0" borderId="0" xfId="0" applyNumberFormat="1" applyFont="1" applyFill="1" applyBorder="1" applyAlignment="1" applyProtection="1">
      <alignment horizontal="center"/>
      <protection hidden="1"/>
    </xf>
    <xf numFmtId="1" fontId="39" fillId="0" borderId="0" xfId="0" applyNumberFormat="1" applyFont="1" applyFill="1" applyBorder="1" applyAlignment="1" applyProtection="1">
      <alignment horizontal="center"/>
      <protection hidden="1"/>
    </xf>
    <xf numFmtId="0" fontId="39"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40" fillId="0" borderId="0" xfId="0" applyFont="1" applyFill="1" applyBorder="1" applyAlignment="1" applyProtection="1">
      <alignment horizontal="center" vertical="center"/>
      <protection hidden="1"/>
    </xf>
    <xf numFmtId="0" fontId="39" fillId="6" borderId="64" xfId="0" applyFont="1" applyFill="1" applyBorder="1" applyAlignment="1">
      <alignment horizontal="center" vertical="center"/>
    </xf>
    <xf numFmtId="0" fontId="40" fillId="0" borderId="65" xfId="0" applyFont="1" applyFill="1" applyBorder="1" applyAlignment="1" applyProtection="1">
      <alignment horizontal="center" vertical="center"/>
      <protection hidden="1"/>
    </xf>
    <xf numFmtId="0" fontId="40" fillId="0" borderId="66" xfId="0" applyFont="1" applyFill="1" applyBorder="1" applyAlignment="1" applyProtection="1">
      <alignment horizontal="center" vertical="center"/>
      <protection hidden="1"/>
    </xf>
    <xf numFmtId="0" fontId="46" fillId="0" borderId="67" xfId="25" applyFont="1" applyFill="1" applyBorder="1" applyAlignment="1" applyProtection="1">
      <alignment horizontal="left" vertical="center"/>
      <protection locked="0"/>
    </xf>
    <xf numFmtId="0" fontId="46" fillId="0" borderId="68" xfId="0" applyFont="1" applyBorder="1" applyAlignment="1" applyProtection="1">
      <alignment horizontal="center"/>
      <protection locked="0"/>
    </xf>
    <xf numFmtId="0" fontId="46" fillId="0" borderId="68" xfId="25" applyFont="1" applyBorder="1" applyAlignment="1" applyProtection="1">
      <alignment horizontal="center"/>
      <protection locked="0"/>
    </xf>
    <xf numFmtId="2" fontId="46" fillId="0" borderId="68" xfId="25" applyNumberFormat="1" applyFont="1" applyFill="1" applyBorder="1" applyAlignment="1" applyProtection="1">
      <alignment horizontal="center" vertical="center"/>
      <protection locked="0"/>
    </xf>
    <xf numFmtId="0" fontId="46" fillId="0" borderId="68" xfId="25" applyFont="1" applyFill="1" applyBorder="1" applyAlignment="1" applyProtection="1">
      <alignment horizontal="center" vertical="center"/>
      <protection locked="0"/>
    </xf>
    <xf numFmtId="0" fontId="46" fillId="0" borderId="69" xfId="25" applyFont="1" applyBorder="1" applyAlignment="1" applyProtection="1">
      <alignment horizontal="left"/>
      <protection locked="0"/>
    </xf>
    <xf numFmtId="0" fontId="46" fillId="0" borderId="70" xfId="0" applyFont="1" applyBorder="1" applyAlignment="1" applyProtection="1">
      <alignment horizontal="center"/>
      <protection locked="0"/>
    </xf>
    <xf numFmtId="0" fontId="46" fillId="0" borderId="70" xfId="25" applyFont="1" applyBorder="1" applyAlignment="1" applyProtection="1">
      <alignment horizontal="center"/>
      <protection locked="0"/>
    </xf>
    <xf numFmtId="0" fontId="46" fillId="0" borderId="70" xfId="25" applyFont="1" applyFill="1" applyBorder="1" applyAlignment="1" applyProtection="1">
      <alignment horizontal="center" vertical="top" wrapText="1"/>
      <protection locked="0"/>
    </xf>
    <xf numFmtId="2" fontId="46" fillId="0" borderId="70" xfId="25" applyNumberFormat="1" applyFont="1" applyFill="1" applyBorder="1" applyAlignment="1" applyProtection="1">
      <alignment horizontal="center" vertical="center" wrapText="1"/>
      <protection locked="0"/>
    </xf>
    <xf numFmtId="0" fontId="46" fillId="0" borderId="70" xfId="25" applyFont="1" applyFill="1" applyBorder="1" applyAlignment="1" applyProtection="1">
      <alignment horizontal="center" vertical="center" wrapText="1"/>
      <protection locked="0"/>
    </xf>
    <xf numFmtId="0" fontId="46" fillId="0" borderId="70" xfId="25" applyFont="1" applyFill="1" applyBorder="1" applyAlignment="1" applyProtection="1">
      <alignment horizontal="center" vertical="center"/>
      <protection locked="0"/>
    </xf>
    <xf numFmtId="0" fontId="46" fillId="0" borderId="69" xfId="25" applyFont="1" applyFill="1" applyBorder="1" applyAlignment="1" applyProtection="1">
      <alignment horizontal="left" vertical="center"/>
      <protection locked="0"/>
    </xf>
    <xf numFmtId="0" fontId="46" fillId="0" borderId="69" xfId="25" applyFont="1" applyBorder="1" applyAlignment="1" applyProtection="1">
      <alignment horizontal="left" vertical="center"/>
      <protection locked="0"/>
    </xf>
    <xf numFmtId="2" fontId="46" fillId="0" borderId="70" xfId="25" applyNumberFormat="1" applyFont="1" applyFill="1" applyBorder="1" applyAlignment="1" applyProtection="1">
      <alignment horizontal="center" vertical="center"/>
      <protection locked="0"/>
    </xf>
    <xf numFmtId="0" fontId="46" fillId="0" borderId="69" xfId="23" applyFont="1" applyFill="1" applyBorder="1" applyAlignment="1" applyProtection="1">
      <alignment horizontal="left" vertical="center"/>
      <protection locked="0"/>
    </xf>
    <xf numFmtId="0" fontId="46" fillId="0" borderId="70" xfId="23" applyFont="1" applyBorder="1" applyAlignment="1" applyProtection="1">
      <alignment horizontal="center"/>
      <protection locked="0"/>
    </xf>
    <xf numFmtId="2" fontId="46" fillId="0" borderId="70" xfId="23" applyNumberFormat="1" applyFont="1" applyFill="1" applyBorder="1" applyAlignment="1" applyProtection="1">
      <alignment horizontal="center" vertical="center" wrapText="1"/>
      <protection locked="0"/>
    </xf>
    <xf numFmtId="0" fontId="46" fillId="0" borderId="70" xfId="23" applyFont="1" applyFill="1" applyBorder="1" applyAlignment="1" applyProtection="1">
      <alignment horizontal="center" vertical="center" wrapText="1"/>
      <protection locked="0"/>
    </xf>
    <xf numFmtId="0" fontId="46" fillId="0" borderId="70" xfId="23" applyFont="1" applyFill="1" applyBorder="1" applyAlignment="1" applyProtection="1">
      <alignment horizontal="center" vertical="center"/>
      <protection locked="0"/>
    </xf>
    <xf numFmtId="0" fontId="46" fillId="0" borderId="69" xfId="23" applyFont="1" applyBorder="1" applyAlignment="1" applyProtection="1">
      <alignment horizontal="left" vertical="center"/>
      <protection locked="0"/>
    </xf>
    <xf numFmtId="0" fontId="46" fillId="0" borderId="70" xfId="23" applyFont="1" applyBorder="1" applyAlignment="1" applyProtection="1">
      <alignment horizontal="center" vertical="center"/>
      <protection locked="0"/>
    </xf>
    <xf numFmtId="2" fontId="46" fillId="0" borderId="70" xfId="23" applyNumberFormat="1" applyFont="1" applyFill="1" applyBorder="1" applyAlignment="1" applyProtection="1">
      <alignment horizontal="center"/>
      <protection locked="0"/>
    </xf>
    <xf numFmtId="0" fontId="46" fillId="0" borderId="70" xfId="23" applyFont="1" applyFill="1" applyBorder="1" applyAlignment="1" applyProtection="1">
      <alignment horizontal="center"/>
      <protection locked="0"/>
    </xf>
    <xf numFmtId="0" fontId="46" fillId="0" borderId="70" xfId="28" applyFont="1" applyFill="1" applyBorder="1" applyAlignment="1" applyProtection="1">
      <alignment horizontal="center" vertical="center"/>
      <protection locked="0"/>
    </xf>
    <xf numFmtId="2" fontId="46" fillId="0" borderId="70" xfId="23" applyNumberFormat="1" applyFont="1" applyFill="1" applyBorder="1" applyAlignment="1" applyProtection="1">
      <alignment horizontal="center" vertical="center"/>
      <protection locked="0"/>
    </xf>
    <xf numFmtId="0" fontId="46" fillId="0" borderId="69" xfId="28" applyFont="1" applyBorder="1" applyAlignment="1" applyProtection="1">
      <alignment horizontal="left"/>
      <protection locked="0"/>
    </xf>
    <xf numFmtId="0" fontId="46" fillId="0" borderId="70" xfId="28" applyFont="1" applyBorder="1" applyAlignment="1" applyProtection="1">
      <alignment horizontal="center"/>
      <protection locked="0"/>
    </xf>
    <xf numFmtId="2" fontId="46" fillId="0" borderId="70" xfId="28" applyNumberFormat="1" applyFont="1" applyFill="1" applyBorder="1" applyAlignment="1" applyProtection="1">
      <alignment horizontal="center"/>
      <protection locked="0"/>
    </xf>
    <xf numFmtId="0" fontId="46" fillId="0" borderId="70" xfId="28" applyNumberFormat="1" applyFont="1" applyFill="1" applyBorder="1" applyAlignment="1" applyProtection="1">
      <alignment horizontal="center"/>
      <protection locked="0"/>
    </xf>
    <xf numFmtId="0" fontId="46" fillId="0" borderId="70" xfId="28" applyFont="1" applyFill="1" applyBorder="1" applyAlignment="1" applyProtection="1">
      <alignment horizontal="center"/>
      <protection locked="0"/>
    </xf>
    <xf numFmtId="0" fontId="46" fillId="0" borderId="69" xfId="26" applyFont="1" applyBorder="1" applyAlignment="1" applyProtection="1">
      <alignment horizontal="left"/>
      <protection locked="0"/>
    </xf>
    <xf numFmtId="0" fontId="46" fillId="0" borderId="70" xfId="26" applyFont="1" applyBorder="1" applyAlignment="1" applyProtection="1">
      <alignment horizontal="center"/>
      <protection locked="0"/>
    </xf>
    <xf numFmtId="2" fontId="46" fillId="0" borderId="70" xfId="26" applyNumberFormat="1" applyFont="1" applyFill="1" applyBorder="1" applyAlignment="1" applyProtection="1">
      <alignment horizontal="center"/>
      <protection locked="0"/>
    </xf>
    <xf numFmtId="0" fontId="46" fillId="0" borderId="70" xfId="26" applyNumberFormat="1" applyFont="1" applyFill="1" applyBorder="1" applyAlignment="1" applyProtection="1">
      <alignment horizontal="center"/>
      <protection locked="0"/>
    </xf>
    <xf numFmtId="0" fontId="46" fillId="0" borderId="70" xfId="26" applyFont="1" applyFill="1" applyBorder="1" applyAlignment="1" applyProtection="1">
      <alignment horizontal="center"/>
      <protection locked="0"/>
    </xf>
    <xf numFmtId="0" fontId="46" fillId="0" borderId="70" xfId="26" applyFont="1" applyFill="1" applyBorder="1" applyAlignment="1" applyProtection="1">
      <alignment horizontal="center" vertical="center"/>
      <protection locked="0"/>
    </xf>
    <xf numFmtId="2" fontId="46" fillId="0" borderId="70" xfId="26" applyNumberFormat="1" applyFont="1" applyBorder="1" applyAlignment="1" applyProtection="1">
      <alignment horizontal="center"/>
      <protection locked="0"/>
    </xf>
    <xf numFmtId="0" fontId="46" fillId="0" borderId="71" xfId="26" applyFont="1" applyBorder="1" applyAlignment="1" applyProtection="1">
      <alignment horizontal="left"/>
      <protection locked="0"/>
    </xf>
    <xf numFmtId="0" fontId="46" fillId="0" borderId="72" xfId="0" applyFont="1" applyBorder="1" applyAlignment="1" applyProtection="1">
      <alignment horizontal="center"/>
      <protection locked="0"/>
    </xf>
    <xf numFmtId="0" fontId="46" fillId="0" borderId="72" xfId="26" applyFont="1" applyBorder="1" applyAlignment="1" applyProtection="1">
      <alignment horizontal="center"/>
      <protection locked="0"/>
    </xf>
    <xf numFmtId="2" fontId="46" fillId="0" borderId="72" xfId="26" applyNumberFormat="1" applyFont="1" applyBorder="1" applyAlignment="1" applyProtection="1">
      <alignment horizontal="center"/>
      <protection locked="0"/>
    </xf>
    <xf numFmtId="0" fontId="38" fillId="0" borderId="73" xfId="8" applyBorder="1" applyAlignment="1" applyProtection="1">
      <alignment horizontal="center"/>
      <protection locked="0"/>
    </xf>
    <xf numFmtId="0" fontId="46" fillId="0" borderId="74" xfId="23" applyFont="1" applyFill="1" applyBorder="1" applyAlignment="1" applyProtection="1">
      <alignment horizontal="left" vertical="center"/>
      <protection locked="0"/>
    </xf>
    <xf numFmtId="0" fontId="46" fillId="0" borderId="75" xfId="0" applyFont="1" applyBorder="1" applyAlignment="1" applyProtection="1">
      <alignment horizontal="center"/>
      <protection locked="0"/>
    </xf>
    <xf numFmtId="0" fontId="46" fillId="0" borderId="75" xfId="23" applyFont="1" applyBorder="1" applyAlignment="1" applyProtection="1">
      <alignment horizontal="center"/>
      <protection locked="0"/>
    </xf>
    <xf numFmtId="2" fontId="46" fillId="0" borderId="75" xfId="23" applyNumberFormat="1" applyFont="1" applyFill="1" applyBorder="1" applyAlignment="1" applyProtection="1">
      <alignment horizontal="center" vertical="center" wrapText="1"/>
      <protection locked="0"/>
    </xf>
    <xf numFmtId="0" fontId="46" fillId="0" borderId="75" xfId="23" applyFont="1" applyFill="1" applyBorder="1" applyAlignment="1" applyProtection="1">
      <alignment horizontal="center" vertical="center" wrapText="1"/>
      <protection locked="0"/>
    </xf>
    <xf numFmtId="0" fontId="46" fillId="0" borderId="75" xfId="23" applyFont="1" applyFill="1" applyBorder="1" applyAlignment="1" applyProtection="1">
      <alignment horizontal="center" vertical="center"/>
      <protection locked="0"/>
    </xf>
    <xf numFmtId="0" fontId="38" fillId="0" borderId="76" xfId="8" applyBorder="1" applyAlignment="1" applyProtection="1">
      <alignment horizontal="center"/>
      <protection locked="0"/>
    </xf>
    <xf numFmtId="0" fontId="46" fillId="0" borderId="77" xfId="23" applyFont="1" applyFill="1" applyBorder="1" applyAlignment="1" applyProtection="1">
      <alignment horizontal="left" vertical="center"/>
      <protection locked="0"/>
    </xf>
    <xf numFmtId="0" fontId="46" fillId="0" borderId="78" xfId="0" applyFont="1" applyBorder="1" applyAlignment="1" applyProtection="1">
      <alignment horizontal="center"/>
      <protection locked="0"/>
    </xf>
    <xf numFmtId="0" fontId="46" fillId="0" borderId="78" xfId="23" applyFont="1" applyBorder="1" applyAlignment="1" applyProtection="1">
      <alignment horizontal="center"/>
      <protection locked="0"/>
    </xf>
    <xf numFmtId="2" fontId="46" fillId="0" borderId="78" xfId="23" applyNumberFormat="1" applyFont="1" applyFill="1" applyBorder="1" applyAlignment="1" applyProtection="1">
      <alignment horizontal="center" vertical="center" wrapText="1"/>
      <protection locked="0"/>
    </xf>
    <xf numFmtId="0" fontId="46" fillId="0" borderId="78" xfId="23" applyFont="1" applyFill="1" applyBorder="1" applyAlignment="1" applyProtection="1">
      <alignment horizontal="center" vertical="center" wrapText="1"/>
      <protection locked="0"/>
    </xf>
    <xf numFmtId="0" fontId="46" fillId="0" borderId="78" xfId="23" applyFont="1" applyFill="1" applyBorder="1" applyAlignment="1" applyProtection="1">
      <alignment horizontal="center" vertical="center"/>
      <protection locked="0"/>
    </xf>
    <xf numFmtId="0" fontId="46" fillId="0" borderId="74" xfId="28" applyFont="1" applyBorder="1" applyAlignment="1" applyProtection="1">
      <alignment horizontal="left"/>
      <protection locked="0"/>
    </xf>
    <xf numFmtId="0" fontId="46" fillId="0" borderId="75" xfId="28" applyFont="1" applyBorder="1" applyAlignment="1" applyProtection="1">
      <alignment horizontal="center"/>
      <protection locked="0"/>
    </xf>
    <xf numFmtId="2" fontId="46" fillId="0" borderId="75" xfId="28" applyNumberFormat="1" applyFont="1" applyFill="1" applyBorder="1" applyAlignment="1" applyProtection="1">
      <alignment horizontal="center"/>
      <protection locked="0"/>
    </xf>
    <xf numFmtId="0" fontId="46" fillId="0" borderId="75" xfId="28" applyNumberFormat="1" applyFont="1" applyFill="1" applyBorder="1" applyAlignment="1" applyProtection="1">
      <alignment horizontal="center"/>
      <protection locked="0"/>
    </xf>
    <xf numFmtId="0" fontId="46" fillId="0" borderId="75" xfId="28" applyFont="1" applyFill="1" applyBorder="1" applyAlignment="1" applyProtection="1">
      <alignment horizontal="center"/>
      <protection locked="0"/>
    </xf>
    <xf numFmtId="0" fontId="46" fillId="0" borderId="75" xfId="28" applyFont="1" applyFill="1" applyBorder="1" applyAlignment="1" applyProtection="1">
      <alignment horizontal="center" vertical="center"/>
      <protection locked="0"/>
    </xf>
    <xf numFmtId="0" fontId="46" fillId="0" borderId="78" xfId="28" applyFont="1" applyBorder="1" applyAlignment="1" applyProtection="1">
      <alignment horizontal="center"/>
      <protection locked="0"/>
    </xf>
    <xf numFmtId="0" fontId="38" fillId="0" borderId="79" xfId="8" applyBorder="1" applyAlignment="1" applyProtection="1">
      <alignment horizontal="center"/>
      <protection locked="0"/>
    </xf>
    <xf numFmtId="2" fontId="46" fillId="0" borderId="75" xfId="28" applyNumberFormat="1" applyFont="1" applyBorder="1" applyAlignment="1" applyProtection="1">
      <alignment horizontal="center"/>
      <protection locked="0"/>
    </xf>
    <xf numFmtId="0" fontId="46" fillId="0" borderId="77" xfId="26" applyFont="1" applyBorder="1" applyAlignment="1" applyProtection="1">
      <alignment horizontal="left"/>
      <protection locked="0"/>
    </xf>
    <xf numFmtId="0" fontId="46" fillId="0" borderId="78" xfId="26" applyFont="1" applyBorder="1" applyAlignment="1" applyProtection="1">
      <alignment horizontal="center"/>
      <protection locked="0"/>
    </xf>
    <xf numFmtId="2" fontId="46" fillId="0" borderId="78" xfId="26" applyNumberFormat="1" applyFont="1" applyFill="1" applyBorder="1" applyAlignment="1" applyProtection="1">
      <alignment horizontal="center"/>
      <protection locked="0"/>
    </xf>
    <xf numFmtId="0" fontId="46" fillId="0" borderId="78" xfId="26" applyNumberFormat="1" applyFont="1" applyFill="1" applyBorder="1" applyAlignment="1" applyProtection="1">
      <alignment horizontal="center"/>
      <protection locked="0"/>
    </xf>
    <xf numFmtId="0" fontId="46" fillId="0" borderId="78" xfId="26" applyFont="1" applyFill="1" applyBorder="1" applyAlignment="1" applyProtection="1">
      <alignment horizontal="center"/>
      <protection locked="0"/>
    </xf>
    <xf numFmtId="0" fontId="46" fillId="0" borderId="78" xfId="26" applyFont="1" applyFill="1" applyBorder="1" applyAlignment="1" applyProtection="1">
      <alignment horizontal="center" vertical="center"/>
      <protection locked="0"/>
    </xf>
    <xf numFmtId="0" fontId="46" fillId="0" borderId="148" xfId="26" applyFont="1" applyBorder="1" applyAlignment="1" applyProtection="1">
      <alignment horizontal="left"/>
      <protection locked="0"/>
    </xf>
    <xf numFmtId="0" fontId="46" fillId="0" borderId="74" xfId="26" applyFont="1" applyBorder="1" applyAlignment="1" applyProtection="1">
      <alignment horizontal="left"/>
      <protection locked="0"/>
    </xf>
    <xf numFmtId="0" fontId="46" fillId="0" borderId="75" xfId="26" applyFont="1" applyBorder="1" applyAlignment="1" applyProtection="1">
      <alignment horizontal="center"/>
      <protection locked="0"/>
    </xf>
    <xf numFmtId="2" fontId="46" fillId="0" borderId="75" xfId="26" applyNumberFormat="1" applyFont="1" applyBorder="1" applyAlignment="1" applyProtection="1">
      <alignment horizontal="center"/>
      <protection locked="0"/>
    </xf>
    <xf numFmtId="2" fontId="46" fillId="0" borderId="78" xfId="26" applyNumberFormat="1" applyFont="1" applyBorder="1" applyAlignment="1" applyProtection="1">
      <alignment horizontal="center"/>
      <protection locked="0"/>
    </xf>
    <xf numFmtId="0" fontId="20" fillId="2" borderId="80" xfId="0" applyFont="1" applyFill="1" applyBorder="1" applyAlignment="1" applyProtection="1">
      <alignment horizontal="center" textRotation="90" wrapText="1"/>
      <protection hidden="1"/>
    </xf>
    <xf numFmtId="0" fontId="20" fillId="2" borderId="81" xfId="0" applyNumberFormat="1" applyFont="1" applyFill="1" applyBorder="1" applyAlignment="1" applyProtection="1">
      <alignment horizontal="center" textRotation="90" wrapText="1"/>
      <protection hidden="1"/>
    </xf>
    <xf numFmtId="0" fontId="46" fillId="0" borderId="71" xfId="23" applyFont="1" applyFill="1" applyBorder="1" applyAlignment="1" applyProtection="1">
      <alignment horizontal="left" vertical="center"/>
      <protection locked="0"/>
    </xf>
    <xf numFmtId="0" fontId="46" fillId="0" borderId="72" xfId="23" applyFont="1" applyBorder="1" applyAlignment="1" applyProtection="1">
      <alignment horizontal="center"/>
      <protection locked="0"/>
    </xf>
    <xf numFmtId="2" fontId="46" fillId="0" borderId="72" xfId="23" applyNumberFormat="1" applyFont="1" applyFill="1" applyBorder="1" applyAlignment="1" applyProtection="1">
      <alignment horizontal="center" vertical="center" wrapText="1"/>
      <protection locked="0"/>
    </xf>
    <xf numFmtId="0" fontId="46" fillId="0" borderId="72" xfId="23" applyFont="1" applyFill="1" applyBorder="1" applyAlignment="1" applyProtection="1">
      <alignment horizontal="center" vertical="center" wrapText="1"/>
      <protection locked="0"/>
    </xf>
    <xf numFmtId="0" fontId="46" fillId="0" borderId="72" xfId="23" applyFont="1" applyFill="1" applyBorder="1" applyAlignment="1" applyProtection="1">
      <alignment horizontal="center" vertical="center"/>
      <protection locked="0"/>
    </xf>
    <xf numFmtId="0" fontId="46" fillId="0" borderId="67" xfId="23" applyFont="1" applyFill="1" applyBorder="1" applyAlignment="1" applyProtection="1">
      <alignment horizontal="left" vertical="center"/>
      <protection locked="0"/>
    </xf>
    <xf numFmtId="0" fontId="46" fillId="0" borderId="68" xfId="23" applyFont="1" applyBorder="1" applyAlignment="1" applyProtection="1">
      <alignment horizontal="center"/>
      <protection locked="0"/>
    </xf>
    <xf numFmtId="2" fontId="46" fillId="0" borderId="68" xfId="23" applyNumberFormat="1" applyFont="1" applyFill="1" applyBorder="1" applyAlignment="1" applyProtection="1">
      <alignment horizontal="center" vertical="center" wrapText="1"/>
      <protection locked="0"/>
    </xf>
    <xf numFmtId="0" fontId="46" fillId="0" borderId="68" xfId="23" applyFont="1" applyFill="1" applyBorder="1" applyAlignment="1" applyProtection="1">
      <alignment horizontal="center" vertical="center" wrapText="1"/>
      <protection locked="0"/>
    </xf>
    <xf numFmtId="0" fontId="46" fillId="0" borderId="68" xfId="23" applyFont="1" applyFill="1" applyBorder="1" applyAlignment="1" applyProtection="1">
      <alignment horizontal="center" vertical="center"/>
      <protection locked="0"/>
    </xf>
    <xf numFmtId="0" fontId="46" fillId="0" borderId="71" xfId="23" applyFont="1" applyBorder="1" applyAlignment="1" applyProtection="1">
      <alignment horizontal="left" vertical="center"/>
      <protection locked="0"/>
    </xf>
    <xf numFmtId="0" fontId="46" fillId="7" borderId="70" xfId="25" applyFont="1" applyFill="1" applyBorder="1" applyAlignment="1" applyProtection="1">
      <alignment horizontal="center" vertical="center"/>
      <protection hidden="1"/>
    </xf>
    <xf numFmtId="0" fontId="46" fillId="7" borderId="149" xfId="25" applyFont="1" applyFill="1" applyBorder="1" applyAlignment="1" applyProtection="1">
      <alignment horizontal="center" vertical="center"/>
      <protection hidden="1"/>
    </xf>
    <xf numFmtId="0" fontId="46" fillId="7" borderId="72" xfId="25" applyFont="1" applyFill="1" applyBorder="1" applyAlignment="1" applyProtection="1">
      <alignment horizontal="center" vertical="center"/>
      <protection hidden="1"/>
    </xf>
    <xf numFmtId="0" fontId="46" fillId="7" borderId="150" xfId="25" applyFont="1" applyFill="1" applyBorder="1" applyAlignment="1" applyProtection="1">
      <alignment horizontal="center" vertical="center"/>
      <protection hidden="1"/>
    </xf>
    <xf numFmtId="0" fontId="46" fillId="7" borderId="78" xfId="25" applyFont="1" applyFill="1" applyBorder="1" applyAlignment="1" applyProtection="1">
      <alignment horizontal="center" vertical="center"/>
      <protection hidden="1"/>
    </xf>
    <xf numFmtId="0" fontId="46" fillId="7" borderId="151" xfId="25" applyFont="1" applyFill="1" applyBorder="1" applyAlignment="1" applyProtection="1">
      <alignment horizontal="center" vertical="center"/>
      <protection hidden="1"/>
    </xf>
    <xf numFmtId="0" fontId="46" fillId="7" borderId="75" xfId="25" applyFont="1" applyFill="1" applyBorder="1" applyAlignment="1" applyProtection="1">
      <alignment horizontal="center" vertical="center"/>
      <protection hidden="1"/>
    </xf>
    <xf numFmtId="0" fontId="46" fillId="7" borderId="152" xfId="25" applyFont="1" applyFill="1" applyBorder="1" applyAlignment="1" applyProtection="1">
      <alignment horizontal="center" vertical="center"/>
      <protection hidden="1"/>
    </xf>
    <xf numFmtId="0" fontId="46" fillId="7" borderId="68" xfId="25" applyFont="1" applyFill="1" applyBorder="1" applyAlignment="1" applyProtection="1">
      <alignment horizontal="center" vertical="center"/>
      <protection hidden="1"/>
    </xf>
    <xf numFmtId="0" fontId="46" fillId="7" borderId="153" xfId="25" applyFont="1" applyFill="1" applyBorder="1" applyAlignment="1" applyProtection="1">
      <alignment horizontal="center" vertical="center"/>
      <protection hidden="1"/>
    </xf>
    <xf numFmtId="0" fontId="46" fillId="7" borderId="154" xfId="25" applyFont="1" applyFill="1" applyBorder="1" applyAlignment="1" applyProtection="1">
      <alignment horizontal="center" vertical="center"/>
      <protection hidden="1"/>
    </xf>
    <xf numFmtId="0" fontId="20" fillId="2" borderId="82" xfId="0" applyFont="1" applyFill="1" applyBorder="1" applyAlignment="1" applyProtection="1">
      <alignment horizontal="center" vertical="center" textRotation="90" wrapText="1"/>
      <protection hidden="1"/>
    </xf>
    <xf numFmtId="0" fontId="46" fillId="0" borderId="67" xfId="23" applyFont="1" applyBorder="1" applyAlignment="1" applyProtection="1">
      <alignment horizontal="left" vertical="center"/>
      <protection locked="0"/>
    </xf>
    <xf numFmtId="0" fontId="46" fillId="0" borderId="68" xfId="28" applyFont="1" applyFill="1" applyBorder="1" applyAlignment="1" applyProtection="1">
      <alignment horizontal="center" vertical="center"/>
      <protection locked="0"/>
    </xf>
    <xf numFmtId="0" fontId="46" fillId="0" borderId="71" xfId="28" applyFont="1" applyBorder="1" applyAlignment="1" applyProtection="1">
      <alignment horizontal="left"/>
      <protection locked="0"/>
    </xf>
    <xf numFmtId="0" fontId="46" fillId="0" borderId="72" xfId="28" applyFont="1" applyBorder="1" applyAlignment="1" applyProtection="1">
      <alignment horizontal="center"/>
      <protection locked="0"/>
    </xf>
    <xf numFmtId="2" fontId="46" fillId="0" borderId="72" xfId="28" applyNumberFormat="1" applyFont="1" applyBorder="1" applyAlignment="1" applyProtection="1">
      <alignment horizontal="center"/>
      <protection locked="0"/>
    </xf>
    <xf numFmtId="0" fontId="46" fillId="0" borderId="155" xfId="26" applyFont="1" applyBorder="1" applyAlignment="1" applyProtection="1">
      <alignment horizontal="left"/>
      <protection locked="0"/>
    </xf>
    <xf numFmtId="0" fontId="46" fillId="0" borderId="156" xfId="0" applyFont="1" applyBorder="1" applyAlignment="1" applyProtection="1">
      <alignment horizontal="center"/>
      <protection locked="0"/>
    </xf>
    <xf numFmtId="0" fontId="46" fillId="0" borderId="156" xfId="26" applyFont="1" applyBorder="1" applyAlignment="1" applyProtection="1">
      <alignment horizontal="center"/>
      <protection locked="0"/>
    </xf>
    <xf numFmtId="2" fontId="46" fillId="0" borderId="156" xfId="26" applyNumberFormat="1" applyFont="1" applyFill="1" applyBorder="1" applyAlignment="1" applyProtection="1">
      <alignment horizontal="center"/>
      <protection locked="0"/>
    </xf>
    <xf numFmtId="0" fontId="46" fillId="0" borderId="156" xfId="26" applyNumberFormat="1" applyFont="1" applyFill="1" applyBorder="1" applyAlignment="1" applyProtection="1">
      <alignment horizontal="center"/>
      <protection locked="0"/>
    </xf>
    <xf numFmtId="0" fontId="46" fillId="0" borderId="156" xfId="26" applyFont="1" applyFill="1" applyBorder="1" applyAlignment="1" applyProtection="1">
      <alignment horizontal="center"/>
      <protection locked="0"/>
    </xf>
    <xf numFmtId="0" fontId="46" fillId="0" borderId="156" xfId="26" applyFont="1" applyFill="1" applyBorder="1" applyAlignment="1" applyProtection="1">
      <alignment horizontal="center" vertical="center"/>
      <protection locked="0"/>
    </xf>
    <xf numFmtId="0" fontId="46" fillId="7" borderId="156" xfId="25" applyFont="1" applyFill="1" applyBorder="1" applyAlignment="1" applyProtection="1">
      <alignment horizontal="center" vertical="center"/>
      <protection hidden="1"/>
    </xf>
    <xf numFmtId="0" fontId="46" fillId="7" borderId="157" xfId="25" applyFont="1" applyFill="1" applyBorder="1" applyAlignment="1" applyProtection="1">
      <alignment horizontal="center" vertical="center"/>
      <protection hidden="1"/>
    </xf>
    <xf numFmtId="0" fontId="46" fillId="0" borderId="158" xfId="26" applyFont="1" applyBorder="1" applyAlignment="1" applyProtection="1">
      <alignment horizontal="left"/>
      <protection locked="0"/>
    </xf>
    <xf numFmtId="0" fontId="46" fillId="0" borderId="154" xfId="0" applyFont="1" applyBorder="1" applyAlignment="1" applyProtection="1">
      <alignment horizontal="center"/>
      <protection locked="0"/>
    </xf>
    <xf numFmtId="0" fontId="46" fillId="0" borderId="154" xfId="26" applyFont="1" applyBorder="1" applyAlignment="1" applyProtection="1">
      <alignment horizontal="center"/>
      <protection locked="0"/>
    </xf>
    <xf numFmtId="2" fontId="46" fillId="0" borderId="154" xfId="26" applyNumberFormat="1" applyFont="1" applyFill="1" applyBorder="1" applyAlignment="1" applyProtection="1">
      <alignment horizontal="center"/>
      <protection locked="0"/>
    </xf>
    <xf numFmtId="0" fontId="46" fillId="0" borderId="154" xfId="26" applyNumberFormat="1" applyFont="1" applyFill="1" applyBorder="1" applyAlignment="1" applyProtection="1">
      <alignment horizontal="center"/>
      <protection locked="0"/>
    </xf>
    <xf numFmtId="0" fontId="46" fillId="0" borderId="154" xfId="26" applyFont="1" applyFill="1" applyBorder="1" applyAlignment="1" applyProtection="1">
      <alignment horizontal="center"/>
      <protection locked="0"/>
    </xf>
    <xf numFmtId="0" fontId="46" fillId="0" borderId="154" xfId="26" applyFont="1" applyFill="1" applyBorder="1" applyAlignment="1" applyProtection="1">
      <alignment horizontal="center" vertical="center"/>
      <protection locked="0"/>
    </xf>
    <xf numFmtId="0" fontId="46" fillId="7" borderId="159" xfId="25" applyFont="1" applyFill="1" applyBorder="1" applyAlignment="1" applyProtection="1">
      <alignment horizontal="center" vertical="center"/>
      <protection hidden="1"/>
    </xf>
    <xf numFmtId="0" fontId="46" fillId="0" borderId="67" xfId="26" applyFont="1" applyBorder="1" applyAlignment="1" applyProtection="1">
      <alignment horizontal="left"/>
      <protection locked="0"/>
    </xf>
    <xf numFmtId="0" fontId="46" fillId="0" borderId="68" xfId="26" applyFont="1" applyBorder="1" applyAlignment="1" applyProtection="1">
      <alignment horizontal="center"/>
      <protection locked="0"/>
    </xf>
    <xf numFmtId="2" fontId="46" fillId="0" borderId="68" xfId="26" applyNumberFormat="1" applyFont="1" applyBorder="1" applyAlignment="1" applyProtection="1">
      <alignment horizontal="center"/>
      <protection locked="0"/>
    </xf>
    <xf numFmtId="0" fontId="20" fillId="2" borderId="82" xfId="0" applyNumberFormat="1" applyFont="1" applyFill="1" applyBorder="1" applyAlignment="1" applyProtection="1">
      <alignment horizontal="center" vertical="center" wrapText="1"/>
      <protection hidden="1"/>
    </xf>
    <xf numFmtId="0" fontId="20" fillId="2" borderId="82" xfId="0" applyFont="1" applyFill="1" applyBorder="1" applyAlignment="1" applyProtection="1">
      <alignment horizontal="center" vertical="center" wrapText="1"/>
      <protection hidden="1"/>
    </xf>
    <xf numFmtId="0" fontId="20" fillId="2" borderId="83" xfId="0" applyFont="1" applyFill="1" applyBorder="1" applyAlignment="1" applyProtection="1">
      <alignment horizontal="center" vertical="center" wrapText="1"/>
      <protection hidden="1"/>
    </xf>
    <xf numFmtId="0" fontId="46" fillId="0" borderId="84" xfId="25" applyFont="1" applyFill="1" applyBorder="1" applyAlignment="1" applyProtection="1">
      <alignment horizontal="center" vertical="center"/>
      <protection locked="0"/>
    </xf>
    <xf numFmtId="0" fontId="46" fillId="0" borderId="85" xfId="25" applyFont="1" applyFill="1" applyBorder="1" applyAlignment="1" applyProtection="1">
      <alignment horizontal="center" vertical="center"/>
      <protection locked="0"/>
    </xf>
    <xf numFmtId="0" fontId="46" fillId="0" borderId="85" xfId="23" applyFont="1" applyFill="1" applyBorder="1" applyAlignment="1" applyProtection="1">
      <alignment horizontal="center" vertical="center"/>
      <protection locked="0"/>
    </xf>
    <xf numFmtId="0" fontId="46" fillId="0" borderId="86" xfId="23" applyFont="1" applyFill="1" applyBorder="1" applyAlignment="1" applyProtection="1">
      <alignment horizontal="center" vertical="center"/>
      <protection locked="0"/>
    </xf>
    <xf numFmtId="0" fontId="46" fillId="0" borderId="87" xfId="23" applyFont="1" applyFill="1" applyBorder="1" applyAlignment="1" applyProtection="1">
      <alignment horizontal="center" vertical="center"/>
      <protection locked="0"/>
    </xf>
    <xf numFmtId="0" fontId="46" fillId="0" borderId="88" xfId="23" applyFont="1" applyFill="1" applyBorder="1" applyAlignment="1" applyProtection="1">
      <alignment horizontal="center" vertical="center"/>
      <protection locked="0"/>
    </xf>
    <xf numFmtId="0" fontId="46" fillId="0" borderId="84" xfId="23" applyFont="1" applyFill="1" applyBorder="1" applyAlignment="1" applyProtection="1">
      <alignment horizontal="center" vertical="center"/>
      <protection locked="0"/>
    </xf>
    <xf numFmtId="0" fontId="46" fillId="0" borderId="85" xfId="28" applyFont="1" applyFill="1" applyBorder="1" applyAlignment="1" applyProtection="1">
      <alignment horizontal="center" vertical="center"/>
      <protection locked="0"/>
    </xf>
    <xf numFmtId="0" fontId="46" fillId="0" borderId="88" xfId="28" applyFont="1" applyFill="1" applyBorder="1" applyAlignment="1" applyProtection="1">
      <alignment horizontal="center" vertical="center"/>
      <protection locked="0"/>
    </xf>
    <xf numFmtId="0" fontId="46" fillId="0" borderId="84" xfId="28" applyFont="1" applyFill="1" applyBorder="1" applyAlignment="1" applyProtection="1">
      <alignment horizontal="center" vertical="center"/>
      <protection locked="0"/>
    </xf>
    <xf numFmtId="0" fontId="46" fillId="0" borderId="85" xfId="28" applyFont="1" applyBorder="1" applyAlignment="1" applyProtection="1">
      <alignment horizontal="center"/>
      <protection locked="0"/>
    </xf>
    <xf numFmtId="0" fontId="46" fillId="0" borderId="86" xfId="28" applyFont="1" applyBorder="1" applyAlignment="1" applyProtection="1">
      <alignment horizontal="center"/>
      <protection locked="0"/>
    </xf>
    <xf numFmtId="0" fontId="46" fillId="0" borderId="87" xfId="28" applyFont="1" applyBorder="1" applyAlignment="1" applyProtection="1">
      <alignment horizontal="center"/>
      <protection locked="0"/>
    </xf>
    <xf numFmtId="0" fontId="46" fillId="0" borderId="88" xfId="28" applyFont="1" applyBorder="1" applyAlignment="1" applyProtection="1">
      <alignment horizontal="center"/>
      <protection locked="0"/>
    </xf>
    <xf numFmtId="0" fontId="46" fillId="0" borderId="160" xfId="26" applyFont="1" applyFill="1" applyBorder="1" applyAlignment="1" applyProtection="1">
      <alignment horizontal="center" vertical="center"/>
      <protection locked="0"/>
    </xf>
    <xf numFmtId="0" fontId="46" fillId="0" borderId="85" xfId="26" applyFont="1" applyFill="1" applyBorder="1" applyAlignment="1" applyProtection="1">
      <alignment horizontal="center" vertical="center"/>
      <protection locked="0"/>
    </xf>
    <xf numFmtId="0" fontId="46" fillId="0" borderId="161" xfId="26" applyFont="1" applyFill="1" applyBorder="1" applyAlignment="1" applyProtection="1">
      <alignment horizontal="center" vertical="center"/>
      <protection locked="0"/>
    </xf>
    <xf numFmtId="0" fontId="46" fillId="0" borderId="87" xfId="26" applyFont="1" applyFill="1" applyBorder="1" applyAlignment="1" applyProtection="1">
      <alignment horizontal="center" vertical="center"/>
      <protection locked="0"/>
    </xf>
    <xf numFmtId="0" fontId="46" fillId="0" borderId="85" xfId="26" applyFont="1" applyBorder="1" applyAlignment="1" applyProtection="1">
      <alignment horizontal="center"/>
      <protection locked="0"/>
    </xf>
    <xf numFmtId="0" fontId="46" fillId="0" borderId="88" xfId="26" applyFont="1" applyBorder="1" applyAlignment="1" applyProtection="1">
      <alignment horizontal="center"/>
      <protection locked="0"/>
    </xf>
    <xf numFmtId="0" fontId="46" fillId="0" borderId="84" xfId="26" applyFont="1" applyBorder="1" applyAlignment="1" applyProtection="1">
      <alignment horizontal="center"/>
      <protection locked="0"/>
    </xf>
    <xf numFmtId="0" fontId="46" fillId="0" borderId="86" xfId="26" applyFont="1" applyBorder="1" applyAlignment="1" applyProtection="1">
      <alignment horizontal="center"/>
      <protection locked="0"/>
    </xf>
    <xf numFmtId="0" fontId="46" fillId="0" borderId="87" xfId="26" applyFont="1" applyBorder="1" applyAlignment="1" applyProtection="1">
      <alignment horizontal="center"/>
      <protection locked="0"/>
    </xf>
    <xf numFmtId="0" fontId="20" fillId="2" borderId="89" xfId="0" applyNumberFormat="1" applyFont="1" applyFill="1" applyBorder="1" applyAlignment="1" applyProtection="1">
      <alignment horizontal="center" textRotation="90" wrapText="1"/>
      <protection hidden="1"/>
    </xf>
    <xf numFmtId="0" fontId="46" fillId="7" borderId="69" xfId="25" applyFont="1" applyFill="1" applyBorder="1" applyAlignment="1" applyProtection="1">
      <alignment horizontal="center" vertical="center"/>
      <protection hidden="1"/>
    </xf>
    <xf numFmtId="0" fontId="46" fillId="7" borderId="71" xfId="25" applyFont="1" applyFill="1" applyBorder="1" applyAlignment="1" applyProtection="1">
      <alignment horizontal="center" vertical="center"/>
      <protection hidden="1"/>
    </xf>
    <xf numFmtId="0" fontId="46" fillId="7" borderId="77" xfId="25" applyFont="1" applyFill="1" applyBorder="1" applyAlignment="1" applyProtection="1">
      <alignment horizontal="center" vertical="center"/>
      <protection hidden="1"/>
    </xf>
    <xf numFmtId="0" fontId="46" fillId="7" borderId="74" xfId="25" applyFont="1" applyFill="1" applyBorder="1" applyAlignment="1" applyProtection="1">
      <alignment horizontal="center" vertical="center"/>
      <protection hidden="1"/>
    </xf>
    <xf numFmtId="0" fontId="46" fillId="7" borderId="67" xfId="25" applyFont="1" applyFill="1" applyBorder="1" applyAlignment="1" applyProtection="1">
      <alignment horizontal="center" vertical="center"/>
      <protection hidden="1"/>
    </xf>
    <xf numFmtId="0" fontId="46" fillId="7" borderId="162" xfId="25" applyFont="1" applyFill="1" applyBorder="1" applyAlignment="1" applyProtection="1">
      <alignment horizontal="center" vertical="center"/>
      <protection hidden="1"/>
    </xf>
    <xf numFmtId="0" fontId="46" fillId="7" borderId="163" xfId="25" applyFont="1" applyFill="1" applyBorder="1" applyAlignment="1" applyProtection="1">
      <alignment horizontal="center" vertical="center"/>
      <protection hidden="1"/>
    </xf>
    <xf numFmtId="0" fontId="20" fillId="2" borderId="164" xfId="0" applyFont="1" applyFill="1" applyBorder="1" applyAlignment="1" applyProtection="1">
      <alignment horizontal="center" vertical="center" textRotation="90" wrapText="1"/>
      <protection hidden="1"/>
    </xf>
    <xf numFmtId="0" fontId="47" fillId="7" borderId="74" xfId="0" applyNumberFormat="1" applyFont="1" applyFill="1" applyBorder="1" applyAlignment="1" applyProtection="1">
      <alignment horizontal="center" vertical="center" wrapText="1"/>
      <protection hidden="1"/>
    </xf>
    <xf numFmtId="0" fontId="47" fillId="7" borderId="75" xfId="0" applyFont="1" applyFill="1" applyBorder="1" applyAlignment="1" applyProtection="1">
      <alignment horizontal="center" vertical="center" wrapText="1"/>
      <protection hidden="1"/>
    </xf>
    <xf numFmtId="0" fontId="47" fillId="7" borderId="152" xfId="0" applyFont="1" applyFill="1" applyBorder="1" applyAlignment="1" applyProtection="1">
      <alignment horizontal="center" vertical="center" wrapText="1"/>
      <protection hidden="1"/>
    </xf>
    <xf numFmtId="0" fontId="55" fillId="5" borderId="165" xfId="0" applyFont="1" applyFill="1" applyBorder="1" applyAlignment="1" applyProtection="1">
      <alignment horizontal="center"/>
      <protection hidden="1"/>
    </xf>
    <xf numFmtId="0" fontId="55" fillId="5" borderId="166" xfId="0" applyFont="1" applyFill="1" applyBorder="1" applyAlignment="1" applyProtection="1">
      <alignment horizontal="center"/>
      <protection hidden="1"/>
    </xf>
    <xf numFmtId="0" fontId="48" fillId="5" borderId="167" xfId="0" applyFont="1" applyFill="1" applyBorder="1" applyAlignment="1">
      <alignment horizontal="center" vertical="center"/>
    </xf>
    <xf numFmtId="0" fontId="48" fillId="5" borderId="168" xfId="0" applyFont="1" applyFill="1" applyBorder="1" applyAlignment="1">
      <alignment horizontal="center" vertical="center"/>
    </xf>
    <xf numFmtId="0" fontId="48" fillId="5" borderId="169" xfId="0" applyFont="1" applyFill="1" applyBorder="1" applyAlignment="1">
      <alignment horizontal="center" vertical="center"/>
    </xf>
    <xf numFmtId="0" fontId="48" fillId="5" borderId="170" xfId="0" applyFont="1" applyFill="1" applyBorder="1" applyAlignment="1">
      <alignment horizontal="center" vertical="center"/>
    </xf>
    <xf numFmtId="165" fontId="46" fillId="0" borderId="171" xfId="0" applyNumberFormat="1" applyFont="1" applyBorder="1" applyAlignment="1" applyProtection="1">
      <alignment horizontal="center" vertical="center"/>
      <protection locked="0"/>
    </xf>
    <xf numFmtId="165" fontId="46" fillId="0" borderId="172" xfId="0" applyNumberFormat="1" applyFont="1" applyBorder="1" applyAlignment="1" applyProtection="1">
      <alignment horizontal="center" vertical="center"/>
      <protection locked="0"/>
    </xf>
    <xf numFmtId="165" fontId="46" fillId="0" borderId="173" xfId="0" applyNumberFormat="1" applyFont="1" applyBorder="1" applyAlignment="1" applyProtection="1">
      <alignment horizontal="center" vertical="center"/>
      <protection locked="0"/>
    </xf>
    <xf numFmtId="165" fontId="46" fillId="0" borderId="174" xfId="0" applyNumberFormat="1" applyFont="1" applyBorder="1" applyAlignment="1" applyProtection="1">
      <alignment horizontal="center" vertical="center"/>
      <protection locked="0"/>
    </xf>
    <xf numFmtId="165" fontId="46" fillId="0" borderId="175" xfId="0" applyNumberFormat="1" applyFont="1" applyBorder="1" applyAlignment="1" applyProtection="1">
      <alignment horizontal="center" vertical="center"/>
      <protection locked="0"/>
    </xf>
    <xf numFmtId="165" fontId="46" fillId="0" borderId="176" xfId="0" applyNumberFormat="1" applyFont="1" applyBorder="1" applyAlignment="1" applyProtection="1">
      <alignment horizontal="center" vertical="center"/>
      <protection locked="0"/>
    </xf>
    <xf numFmtId="0" fontId="46" fillId="7" borderId="177" xfId="0" applyFont="1" applyFill="1" applyBorder="1" applyAlignment="1" applyProtection="1">
      <alignment horizontal="center" vertical="center"/>
      <protection hidden="1"/>
    </xf>
    <xf numFmtId="0" fontId="46" fillId="7" borderId="178" xfId="0" applyFont="1" applyFill="1" applyBorder="1" applyAlignment="1" applyProtection="1">
      <alignment horizontal="center" vertical="center"/>
      <protection hidden="1"/>
    </xf>
    <xf numFmtId="0" fontId="46" fillId="7" borderId="179" xfId="0" applyFont="1" applyFill="1" applyBorder="1" applyAlignment="1" applyProtection="1">
      <alignment horizontal="center" vertical="center"/>
      <protection hidden="1"/>
    </xf>
    <xf numFmtId="0" fontId="46" fillId="7" borderId="180" xfId="0" applyFont="1" applyFill="1" applyBorder="1" applyAlignment="1" applyProtection="1">
      <alignment horizontal="center" vertical="center"/>
      <protection hidden="1"/>
    </xf>
    <xf numFmtId="0" fontId="46" fillId="7" borderId="181" xfId="0" applyFont="1" applyFill="1" applyBorder="1" applyAlignment="1" applyProtection="1">
      <alignment horizontal="center" vertical="center"/>
      <protection hidden="1"/>
    </xf>
    <xf numFmtId="0" fontId="46" fillId="7" borderId="182" xfId="0" applyFont="1" applyFill="1" applyBorder="1" applyAlignment="1" applyProtection="1">
      <alignment horizontal="center" vertical="center"/>
      <protection hidden="1"/>
    </xf>
    <xf numFmtId="0" fontId="46" fillId="7" borderId="183" xfId="0" applyFont="1" applyFill="1" applyBorder="1" applyAlignment="1" applyProtection="1">
      <alignment horizontal="center" vertical="center"/>
      <protection hidden="1"/>
    </xf>
    <xf numFmtId="0" fontId="46" fillId="7" borderId="184" xfId="0" applyFont="1" applyFill="1" applyBorder="1" applyAlignment="1" applyProtection="1">
      <alignment horizontal="center" vertical="center"/>
      <protection hidden="1"/>
    </xf>
    <xf numFmtId="0" fontId="46" fillId="7" borderId="185" xfId="0" applyFont="1" applyFill="1" applyBorder="1" applyAlignment="1" applyProtection="1">
      <alignment horizontal="center" vertical="center"/>
      <protection hidden="1"/>
    </xf>
    <xf numFmtId="0" fontId="46" fillId="7" borderId="186" xfId="0" applyFont="1" applyFill="1" applyBorder="1" applyAlignment="1" applyProtection="1">
      <alignment horizontal="center" vertical="center"/>
      <protection hidden="1"/>
    </xf>
    <xf numFmtId="0" fontId="46" fillId="7" borderId="187" xfId="0" applyFont="1" applyFill="1" applyBorder="1" applyAlignment="1" applyProtection="1">
      <alignment horizontal="center" vertical="center"/>
      <protection hidden="1"/>
    </xf>
    <xf numFmtId="0" fontId="47" fillId="7" borderId="184" xfId="0" applyFont="1" applyFill="1" applyBorder="1" applyAlignment="1" applyProtection="1">
      <alignment horizontal="center" vertical="center"/>
      <protection hidden="1"/>
    </xf>
    <xf numFmtId="0" fontId="47" fillId="7" borderId="186" xfId="0" applyFont="1" applyFill="1" applyBorder="1" applyAlignment="1" applyProtection="1">
      <alignment horizontal="center" vertical="center"/>
      <protection hidden="1"/>
    </xf>
    <xf numFmtId="0" fontId="46" fillId="7" borderId="188" xfId="0" applyFont="1" applyFill="1" applyBorder="1" applyAlignment="1" applyProtection="1">
      <alignment horizontal="center" vertical="center"/>
      <protection hidden="1"/>
    </xf>
    <xf numFmtId="0" fontId="47" fillId="7" borderId="189" xfId="0" applyFont="1" applyFill="1" applyBorder="1" applyAlignment="1" applyProtection="1">
      <alignment horizontal="center" vertical="center"/>
      <protection hidden="1"/>
    </xf>
    <xf numFmtId="0" fontId="16" fillId="0" borderId="0"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0" fillId="0" borderId="90" xfId="0" applyFill="1" applyBorder="1" applyAlignment="1" applyProtection="1">
      <alignment horizontal="center" vertical="center"/>
      <protection hidden="1"/>
    </xf>
    <xf numFmtId="0" fontId="0" fillId="0" borderId="91" xfId="0" applyFill="1" applyBorder="1" applyAlignment="1" applyProtection="1">
      <alignment horizontal="center" vertical="center"/>
      <protection hidden="1"/>
    </xf>
    <xf numFmtId="0" fontId="0" fillId="0" borderId="92" xfId="0"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Alignment="1" applyProtection="1">
      <alignment wrapText="1"/>
      <protection hidden="1"/>
    </xf>
    <xf numFmtId="0" fontId="56" fillId="2" borderId="93" xfId="0" applyFont="1" applyFill="1" applyBorder="1" applyAlignment="1" applyProtection="1">
      <alignment horizontal="center" vertical="center" wrapText="1"/>
      <protection hidden="1"/>
    </xf>
    <xf numFmtId="0" fontId="0" fillId="0" borderId="94" xfId="0" applyBorder="1" applyAlignment="1" applyProtection="1">
      <protection hidden="1"/>
    </xf>
    <xf numFmtId="0" fontId="0" fillId="0" borderId="0" xfId="0" applyBorder="1" applyAlignment="1" applyProtection="1">
      <protection hidden="1"/>
    </xf>
    <xf numFmtId="0" fontId="56" fillId="2" borderId="95" xfId="0" applyFont="1" applyFill="1" applyBorder="1" applyAlignment="1" applyProtection="1">
      <alignment horizontal="center" vertical="center" wrapText="1"/>
      <protection hidden="1"/>
    </xf>
    <xf numFmtId="0" fontId="14" fillId="0" borderId="0" xfId="0" applyFont="1" applyFill="1" applyBorder="1" applyAlignment="1" applyProtection="1">
      <alignment horizontal="center" vertical="center"/>
      <protection hidden="1"/>
    </xf>
    <xf numFmtId="0" fontId="13" fillId="3" borderId="0" xfId="0" applyFont="1" applyFill="1" applyBorder="1" applyAlignment="1" applyProtection="1">
      <alignment horizontal="center" vertical="center" wrapText="1"/>
      <protection hidden="1"/>
    </xf>
    <xf numFmtId="0" fontId="56" fillId="2" borderId="190" xfId="0" applyFont="1" applyFill="1" applyBorder="1" applyAlignment="1" applyProtection="1">
      <alignment horizontal="center" vertical="center"/>
      <protection hidden="1"/>
    </xf>
    <xf numFmtId="0" fontId="56" fillId="3" borderId="0" xfId="0" applyFont="1" applyFill="1" applyBorder="1" applyAlignment="1" applyProtection="1">
      <alignment horizontal="center" vertical="center" wrapText="1"/>
      <protection hidden="1"/>
    </xf>
    <xf numFmtId="0" fontId="56" fillId="2" borderId="191" xfId="0" applyFont="1" applyFill="1" applyBorder="1" applyAlignment="1" applyProtection="1">
      <alignment horizontal="center" vertical="center"/>
      <protection hidden="1"/>
    </xf>
    <xf numFmtId="0" fontId="56" fillId="0" borderId="0" xfId="0" applyFont="1" applyFill="1" applyBorder="1" applyAlignment="1" applyProtection="1">
      <alignment horizontal="center" vertical="center"/>
      <protection hidden="1"/>
    </xf>
    <xf numFmtId="0" fontId="7" fillId="0" borderId="92" xfId="0" applyFont="1" applyFill="1" applyBorder="1" applyAlignment="1" applyProtection="1">
      <alignment horizontal="center" vertical="center"/>
      <protection hidden="1"/>
    </xf>
    <xf numFmtId="0" fontId="56" fillId="2" borderId="93" xfId="0" applyFont="1" applyFill="1" applyBorder="1" applyAlignment="1" applyProtection="1">
      <alignment horizontal="center" vertical="center"/>
      <protection hidden="1"/>
    </xf>
    <xf numFmtId="0" fontId="15" fillId="0" borderId="0" xfId="0" applyFont="1" applyFill="1" applyBorder="1" applyAlignment="1" applyProtection="1">
      <alignment horizontal="center" vertical="center" wrapText="1"/>
      <protection hidden="1"/>
    </xf>
    <xf numFmtId="0" fontId="0" fillId="2" borderId="0" xfId="0" applyFill="1" applyBorder="1" applyAlignment="1" applyProtection="1">
      <alignment horizontal="center" vertical="center"/>
      <protection hidden="1"/>
    </xf>
    <xf numFmtId="0" fontId="56" fillId="2" borderId="96" xfId="0" applyFont="1"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0" fontId="17" fillId="0" borderId="0" xfId="0" applyFont="1" applyFill="1" applyAlignment="1" applyProtection="1">
      <alignment horizontal="center" vertical="center"/>
      <protection hidden="1"/>
    </xf>
    <xf numFmtId="0" fontId="0" fillId="0" borderId="192" xfId="0" applyBorder="1"/>
    <xf numFmtId="0" fontId="0" fillId="0" borderId="193" xfId="0" applyBorder="1"/>
    <xf numFmtId="0" fontId="0" fillId="0" borderId="194" xfId="0" applyBorder="1"/>
    <xf numFmtId="0" fontId="46" fillId="0" borderId="133" xfId="0" applyFont="1" applyBorder="1" applyAlignment="1">
      <alignment horizontal="center" vertical="center" wrapText="1"/>
    </xf>
    <xf numFmtId="0" fontId="46" fillId="0" borderId="195" xfId="0" applyFont="1" applyBorder="1" applyAlignment="1">
      <alignment horizontal="center" vertical="center"/>
    </xf>
    <xf numFmtId="0" fontId="46" fillId="0" borderId="196" xfId="0" applyFont="1" applyBorder="1" applyAlignment="1">
      <alignment horizontal="center" vertical="center"/>
    </xf>
    <xf numFmtId="0" fontId="46" fillId="0" borderId="197" xfId="0" applyFont="1" applyBorder="1" applyAlignment="1">
      <alignment horizontal="center" vertical="center"/>
    </xf>
    <xf numFmtId="0" fontId="57" fillId="0" borderId="198" xfId="9" applyFont="1" applyFill="1" applyBorder="1" applyAlignment="1" applyProtection="1">
      <alignment horizontal="center" vertical="center" wrapText="1"/>
      <protection locked="0"/>
    </xf>
    <xf numFmtId="0" fontId="57" fillId="0" borderId="198" xfId="13" applyFont="1" applyFill="1" applyBorder="1" applyAlignment="1" applyProtection="1">
      <alignment horizontal="center" vertical="center" wrapText="1"/>
      <protection locked="0"/>
    </xf>
    <xf numFmtId="0" fontId="37" fillId="0" borderId="98" xfId="0" applyFont="1" applyFill="1" applyBorder="1" applyAlignment="1" applyProtection="1">
      <alignment horizontal="center" vertical="center" wrapText="1"/>
      <protection locked="0"/>
    </xf>
    <xf numFmtId="0" fontId="37" fillId="0" borderId="97" xfId="0" applyFont="1" applyFill="1" applyBorder="1" applyAlignment="1" applyProtection="1">
      <alignment horizontal="center" vertical="center" wrapText="1"/>
      <protection locked="0"/>
    </xf>
    <xf numFmtId="0" fontId="47" fillId="8" borderId="99" xfId="0" applyNumberFormat="1" applyFont="1" applyFill="1" applyBorder="1" applyAlignment="1" applyProtection="1">
      <alignment horizontal="center" wrapText="1"/>
      <protection hidden="1"/>
    </xf>
    <xf numFmtId="0" fontId="47" fillId="8" borderId="99" xfId="0" applyFont="1" applyFill="1" applyBorder="1" applyAlignment="1" applyProtection="1">
      <alignment horizontal="center" wrapText="1"/>
      <protection hidden="1"/>
    </xf>
    <xf numFmtId="0" fontId="46" fillId="0" borderId="131" xfId="0" applyFont="1" applyBorder="1" applyAlignment="1">
      <alignment horizontal="center" vertical="center" wrapText="1"/>
    </xf>
    <xf numFmtId="0" fontId="51" fillId="0" borderId="145" xfId="0" applyFont="1" applyBorder="1" applyAlignment="1"/>
    <xf numFmtId="0" fontId="0" fillId="0" borderId="145" xfId="0" applyBorder="1" applyAlignment="1"/>
    <xf numFmtId="0" fontId="0" fillId="0" borderId="146" xfId="0" applyBorder="1" applyAlignment="1"/>
    <xf numFmtId="0" fontId="59" fillId="0" borderId="0" xfId="0" applyFont="1" applyAlignment="1">
      <alignment wrapText="1"/>
    </xf>
    <xf numFmtId="0" fontId="36" fillId="0" borderId="0" xfId="0" applyFont="1" applyAlignment="1"/>
    <xf numFmtId="0" fontId="54" fillId="0" borderId="0" xfId="0" applyFont="1" applyAlignment="1">
      <alignment wrapText="1"/>
    </xf>
    <xf numFmtId="0" fontId="60" fillId="0" borderId="0" xfId="0" applyFont="1" applyAlignment="1">
      <alignment wrapText="1"/>
    </xf>
    <xf numFmtId="0" fontId="51" fillId="0" borderId="145" xfId="0" applyFont="1" applyBorder="1" applyAlignment="1">
      <alignment wrapText="1"/>
    </xf>
    <xf numFmtId="0" fontId="0" fillId="0" borderId="146" xfId="0" applyBorder="1" applyAlignment="1">
      <alignment wrapText="1"/>
    </xf>
    <xf numFmtId="0" fontId="0" fillId="0" borderId="145" xfId="0" applyBorder="1" applyAlignment="1">
      <alignment wrapText="1"/>
    </xf>
    <xf numFmtId="0" fontId="51" fillId="0" borderId="147" xfId="0" applyFont="1" applyBorder="1" applyAlignment="1">
      <alignment wrapText="1"/>
    </xf>
    <xf numFmtId="0" fontId="42" fillId="0" borderId="0" xfId="0" applyFont="1" applyAlignment="1">
      <alignment wrapText="1"/>
    </xf>
    <xf numFmtId="0" fontId="36" fillId="0" borderId="0" xfId="0" applyFont="1" applyAlignment="1">
      <alignment wrapText="1"/>
    </xf>
    <xf numFmtId="0" fontId="42" fillId="0" borderId="0" xfId="0" applyFont="1" applyAlignment="1">
      <alignment vertical="top"/>
    </xf>
    <xf numFmtId="0" fontId="0" fillId="0" borderId="0" xfId="0" applyAlignment="1">
      <alignment vertical="top"/>
    </xf>
    <xf numFmtId="0" fontId="52" fillId="0" borderId="0" xfId="0" applyFont="1" applyAlignment="1">
      <alignment wrapText="1"/>
    </xf>
    <xf numFmtId="0" fontId="53"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51" fillId="0" borderId="147" xfId="0" applyFont="1" applyBorder="1" applyAlignment="1">
      <alignment horizontal="center" vertical="center" wrapText="1"/>
    </xf>
    <xf numFmtId="0" fontId="0" fillId="0" borderId="146" xfId="0" applyBorder="1" applyAlignment="1">
      <alignment horizontal="center" vertical="center" wrapText="1"/>
    </xf>
    <xf numFmtId="0" fontId="51" fillId="0" borderId="147" xfId="0" applyFont="1" applyBorder="1" applyAlignment="1">
      <alignment vertical="top" wrapText="1"/>
    </xf>
    <xf numFmtId="0" fontId="0" fillId="0" borderId="145" xfId="0" applyBorder="1" applyAlignment="1">
      <alignment vertical="top" wrapText="1"/>
    </xf>
    <xf numFmtId="0" fontId="0" fillId="0" borderId="146" xfId="0" applyBorder="1" applyAlignment="1">
      <alignment vertical="top" wrapText="1"/>
    </xf>
    <xf numFmtId="0" fontId="58" fillId="0" borderId="131" xfId="0" applyFont="1" applyBorder="1" applyAlignment="1">
      <alignment horizontal="center" vertical="center" wrapText="1"/>
    </xf>
    <xf numFmtId="0" fontId="58" fillId="0" borderId="131" xfId="0" applyFont="1" applyBorder="1" applyAlignment="1">
      <alignment horizontal="left" vertical="center" wrapText="1"/>
    </xf>
    <xf numFmtId="0" fontId="53" fillId="0" borderId="0" xfId="0" applyFont="1" applyAlignment="1">
      <alignment vertical="center"/>
    </xf>
    <xf numFmtId="0" fontId="46" fillId="0" borderId="131" xfId="0" applyFont="1" applyBorder="1" applyAlignment="1">
      <alignment horizontal="center" vertical="center" wrapText="1"/>
    </xf>
    <xf numFmtId="0" fontId="58" fillId="0" borderId="131" xfId="0" applyFont="1" applyBorder="1" applyAlignment="1">
      <alignment wrapText="1"/>
    </xf>
    <xf numFmtId="0" fontId="0" fillId="0" borderId="0" xfId="0" applyAlignment="1">
      <alignment wrapText="1"/>
    </xf>
    <xf numFmtId="0" fontId="45" fillId="0" borderId="0" xfId="0" applyFont="1" applyAlignment="1">
      <alignment wrapText="1"/>
    </xf>
    <xf numFmtId="0" fontId="27" fillId="0" borderId="0" xfId="0" applyFont="1" applyBorder="1" applyAlignment="1">
      <alignment horizontal="left" vertical="top" wrapText="1"/>
    </xf>
    <xf numFmtId="0" fontId="31" fillId="0" borderId="0" xfId="1" applyFont="1" applyAlignment="1" applyProtection="1">
      <alignment wrapText="1"/>
    </xf>
    <xf numFmtId="0" fontId="10" fillId="0" borderId="0" xfId="0" applyFont="1" applyAlignment="1" applyProtection="1">
      <alignment wrapText="1"/>
      <protection hidden="1"/>
    </xf>
    <xf numFmtId="0" fontId="0" fillId="0" borderId="0" xfId="0" applyAlignment="1" applyProtection="1">
      <protection hidden="1"/>
    </xf>
    <xf numFmtId="0" fontId="23" fillId="0" borderId="0" xfId="0" applyFont="1" applyAlignment="1" applyProtection="1">
      <alignment vertical="top" wrapText="1"/>
      <protection hidden="1"/>
    </xf>
    <xf numFmtId="0" fontId="12" fillId="0" borderId="79" xfId="0" applyFont="1" applyFill="1" applyBorder="1" applyAlignment="1" applyProtection="1">
      <alignment horizontal="center" vertical="center" wrapText="1"/>
      <protection locked="0"/>
    </xf>
    <xf numFmtId="0" fontId="0" fillId="0" borderId="100" xfId="0" applyFill="1" applyBorder="1" applyAlignment="1" applyProtection="1">
      <protection locked="0"/>
    </xf>
    <xf numFmtId="14" fontId="12" fillId="0" borderId="79" xfId="0" applyNumberFormat="1" applyFont="1" applyFill="1" applyBorder="1" applyAlignment="1" applyProtection="1">
      <alignment horizontal="center" vertical="center" wrapText="1"/>
      <protection locked="0"/>
    </xf>
    <xf numFmtId="0" fontId="56" fillId="2" borderId="0" xfId="0" applyFont="1" applyFill="1" applyAlignment="1" applyProtection="1">
      <alignment horizontal="center" vertical="center" wrapText="1"/>
      <protection hidden="1"/>
    </xf>
    <xf numFmtId="0" fontId="48" fillId="2" borderId="0" xfId="0" applyFont="1" applyFill="1" applyAlignment="1" applyProtection="1">
      <alignment horizontal="center" vertical="center" wrapText="1"/>
      <protection hidden="1"/>
    </xf>
    <xf numFmtId="0" fontId="56" fillId="2" borderId="0" xfId="0" applyFont="1" applyFill="1" applyBorder="1" applyAlignment="1" applyProtection="1">
      <alignment horizontal="center" vertical="center"/>
      <protection hidden="1"/>
    </xf>
    <xf numFmtId="0" fontId="62" fillId="5" borderId="201" xfId="0" applyFont="1" applyFill="1" applyBorder="1" applyAlignment="1" applyProtection="1">
      <alignment horizontal="center"/>
      <protection hidden="1"/>
    </xf>
    <xf numFmtId="0" fontId="62" fillId="5" borderId="202" xfId="0" applyFont="1" applyFill="1" applyBorder="1" applyAlignment="1" applyProtection="1">
      <alignment horizontal="center"/>
      <protection hidden="1"/>
    </xf>
    <xf numFmtId="0" fontId="61" fillId="5" borderId="199" xfId="0" applyFont="1" applyFill="1" applyBorder="1" applyAlignment="1" applyProtection="1">
      <alignment horizontal="center" vertical="center" textRotation="90"/>
      <protection hidden="1"/>
    </xf>
    <xf numFmtId="0" fontId="43" fillId="7" borderId="203" xfId="0" applyFont="1" applyFill="1" applyBorder="1" applyAlignment="1" applyProtection="1">
      <alignment horizontal="center"/>
      <protection hidden="1"/>
    </xf>
    <xf numFmtId="0" fontId="46" fillId="7" borderId="204" xfId="0" applyFont="1" applyFill="1" applyBorder="1" applyAlignment="1" applyProtection="1">
      <alignment horizontal="center"/>
      <protection hidden="1"/>
    </xf>
    <xf numFmtId="0" fontId="10" fillId="0" borderId="0" xfId="0" applyFont="1" applyAlignment="1" applyProtection="1">
      <alignment horizontal="left" vertical="center" wrapText="1"/>
    </xf>
    <xf numFmtId="0" fontId="47" fillId="8" borderId="99" xfId="0" applyFont="1" applyFill="1" applyBorder="1" applyAlignment="1" applyProtection="1">
      <alignment horizontal="center" wrapText="1"/>
      <protection hidden="1"/>
    </xf>
    <xf numFmtId="0" fontId="46" fillId="0" borderId="99" xfId="0" applyFont="1" applyBorder="1" applyAlignment="1">
      <alignment horizontal="center" wrapText="1"/>
    </xf>
    <xf numFmtId="0" fontId="61" fillId="5" borderId="200" xfId="0" applyFont="1" applyFill="1" applyBorder="1" applyAlignment="1" applyProtection="1">
      <alignment horizontal="center" vertical="center" textRotation="90"/>
      <protection hidden="1"/>
    </xf>
    <xf numFmtId="0" fontId="10" fillId="0" borderId="0" xfId="0" applyFont="1" applyAlignment="1">
      <alignment wrapText="1"/>
    </xf>
    <xf numFmtId="0" fontId="0" fillId="0" borderId="0" xfId="0" applyAlignment="1"/>
    <xf numFmtId="0" fontId="48" fillId="5" borderId="205" xfId="0" applyFont="1" applyFill="1" applyBorder="1" applyAlignment="1">
      <alignment horizontal="center" vertical="center"/>
    </xf>
    <xf numFmtId="0" fontId="48" fillId="5" borderId="206" xfId="0" applyFont="1" applyFill="1" applyBorder="1" applyAlignment="1">
      <alignment horizontal="center" vertical="center"/>
    </xf>
    <xf numFmtId="0" fontId="48" fillId="5" borderId="0" xfId="0" applyFont="1" applyFill="1" applyBorder="1" applyAlignment="1" applyProtection="1">
      <alignment horizontal="center" vertical="center"/>
      <protection hidden="1"/>
    </xf>
    <xf numFmtId="0" fontId="0" fillId="0" borderId="144" xfId="0" applyBorder="1" applyAlignment="1"/>
    <xf numFmtId="0" fontId="20" fillId="2" borderId="3" xfId="0" applyFont="1" applyFill="1" applyBorder="1" applyAlignment="1">
      <alignment horizontal="center" vertical="center" wrapText="1"/>
    </xf>
    <xf numFmtId="0" fontId="63" fillId="0" borderId="0" xfId="0" applyFont="1" applyAlignment="1"/>
    <xf numFmtId="0" fontId="20" fillId="2" borderId="14" xfId="0" applyFont="1" applyFill="1" applyBorder="1" applyAlignment="1">
      <alignment horizontal="center" vertical="center" wrapText="1"/>
    </xf>
    <xf numFmtId="0" fontId="40" fillId="4" borderId="104" xfId="0" applyFont="1" applyFill="1" applyBorder="1" applyAlignment="1" applyProtection="1">
      <alignment horizontal="center" vertical="center"/>
      <protection hidden="1"/>
    </xf>
    <xf numFmtId="0" fontId="40" fillId="4" borderId="105" xfId="0" applyFont="1" applyFill="1" applyBorder="1" applyAlignment="1" applyProtection="1">
      <alignment horizontal="center" vertical="center"/>
      <protection hidden="1"/>
    </xf>
    <xf numFmtId="0" fontId="21" fillId="0" borderId="0" xfId="0" applyFont="1" applyBorder="1" applyAlignment="1" applyProtection="1">
      <alignment horizontal="left" vertical="center" wrapText="1"/>
    </xf>
    <xf numFmtId="0" fontId="0" fillId="0" borderId="0" xfId="0" applyAlignment="1">
      <alignment horizontal="left" vertical="center" wrapText="1"/>
    </xf>
    <xf numFmtId="0" fontId="2" fillId="0" borderId="66" xfId="0" applyFont="1" applyBorder="1" applyAlignment="1"/>
    <xf numFmtId="0" fontId="0" fillId="0" borderId="66" xfId="0" applyBorder="1" applyAlignment="1"/>
    <xf numFmtId="0" fontId="0" fillId="0" borderId="111" xfId="0" applyBorder="1" applyAlignment="1"/>
    <xf numFmtId="0" fontId="39" fillId="6" borderId="52" xfId="0" applyFont="1" applyFill="1" applyBorder="1" applyAlignment="1">
      <alignment horizontal="center" vertical="center"/>
    </xf>
    <xf numFmtId="0" fontId="0" fillId="6" borderId="52" xfId="0" applyFill="1" applyBorder="1" applyAlignment="1">
      <alignment horizontal="center" vertical="center"/>
    </xf>
    <xf numFmtId="0" fontId="0" fillId="6" borderId="53" xfId="0" applyFill="1" applyBorder="1" applyAlignment="1">
      <alignment horizontal="center" vertical="center"/>
    </xf>
    <xf numFmtId="164" fontId="8" fillId="0" borderId="0" xfId="0" applyNumberFormat="1" applyFont="1" applyAlignment="1">
      <alignment horizontal="left" vertical="center"/>
    </xf>
    <xf numFmtId="0" fontId="50" fillId="6" borderId="54" xfId="0" applyFont="1" applyFill="1" applyBorder="1" applyAlignment="1" applyProtection="1">
      <alignment horizontal="center" vertical="center"/>
      <protection hidden="1"/>
    </xf>
    <xf numFmtId="0" fontId="50" fillId="6" borderId="121" xfId="0" applyFont="1" applyFill="1" applyBorder="1" applyAlignment="1" applyProtection="1">
      <alignment horizontal="center" vertical="center"/>
      <protection hidden="1"/>
    </xf>
    <xf numFmtId="0" fontId="50" fillId="6" borderId="64" xfId="0" applyFont="1" applyFill="1" applyBorder="1" applyAlignment="1" applyProtection="1">
      <alignment horizontal="center" vertical="center"/>
      <protection hidden="1"/>
    </xf>
    <xf numFmtId="0" fontId="50" fillId="6" borderId="121" xfId="0" applyFont="1" applyFill="1" applyBorder="1" applyAlignment="1">
      <alignment horizontal="center" vertical="center"/>
    </xf>
    <xf numFmtId="0" fontId="40" fillId="4" borderId="48" xfId="0" applyFont="1" applyFill="1" applyBorder="1" applyAlignment="1" applyProtection="1">
      <alignment horizontal="center" vertical="center"/>
      <protection hidden="1"/>
    </xf>
    <xf numFmtId="0" fontId="40" fillId="4" borderId="101" xfId="0" applyFont="1" applyFill="1" applyBorder="1" applyAlignment="1" applyProtection="1">
      <alignment horizontal="center" vertical="center"/>
      <protection hidden="1"/>
    </xf>
    <xf numFmtId="0" fontId="40" fillId="4" borderId="38" xfId="0" applyFont="1" applyFill="1" applyBorder="1" applyAlignment="1" applyProtection="1">
      <alignment horizontal="center" vertical="center"/>
      <protection hidden="1"/>
    </xf>
    <xf numFmtId="0" fontId="50" fillId="6" borderId="120" xfId="0" applyFont="1" applyFill="1" applyBorder="1" applyAlignment="1" applyProtection="1">
      <alignment horizontal="center" vertical="center"/>
      <protection hidden="1"/>
    </xf>
    <xf numFmtId="0" fontId="50" fillId="6" borderId="64" xfId="0" applyFont="1" applyFill="1" applyBorder="1" applyAlignment="1">
      <alignment horizontal="center" vertical="center"/>
    </xf>
    <xf numFmtId="0" fontId="40" fillId="4" borderId="51" xfId="0" applyFont="1" applyFill="1" applyBorder="1" applyAlignment="1" applyProtection="1">
      <alignment horizontal="center" vertical="center"/>
      <protection hidden="1"/>
    </xf>
    <xf numFmtId="0" fontId="40" fillId="4" borderId="106" xfId="0" applyFont="1" applyFill="1" applyBorder="1" applyAlignment="1" applyProtection="1">
      <alignment horizontal="center" vertical="center"/>
      <protection hidden="1"/>
    </xf>
    <xf numFmtId="0" fontId="40" fillId="4" borderId="107" xfId="0" applyFont="1" applyFill="1" applyBorder="1" applyAlignment="1" applyProtection="1">
      <alignment horizontal="center" vertical="center"/>
      <protection hidden="1"/>
    </xf>
    <xf numFmtId="0" fontId="40" fillId="4" borderId="25" xfId="0" applyFont="1" applyFill="1" applyBorder="1" applyAlignment="1" applyProtection="1">
      <alignment horizontal="center" vertical="center"/>
      <protection hidden="1"/>
    </xf>
    <xf numFmtId="0" fontId="40" fillId="4" borderId="23" xfId="0" applyFont="1" applyFill="1" applyBorder="1" applyAlignment="1" applyProtection="1">
      <alignment horizontal="center" vertical="center"/>
      <protection hidden="1"/>
    </xf>
    <xf numFmtId="0" fontId="40" fillId="4" borderId="24" xfId="0" applyFont="1" applyFill="1" applyBorder="1" applyAlignment="1" applyProtection="1">
      <alignment horizontal="center" vertical="center"/>
      <protection hidden="1"/>
    </xf>
    <xf numFmtId="0" fontId="40" fillId="4" borderId="116" xfId="0" applyFont="1" applyFill="1" applyBorder="1" applyAlignment="1" applyProtection="1">
      <alignment horizontal="center" vertical="center"/>
      <protection hidden="1"/>
    </xf>
    <xf numFmtId="0" fontId="40" fillId="4" borderId="117" xfId="0" applyFont="1" applyFill="1" applyBorder="1" applyAlignment="1" applyProtection="1">
      <alignment horizontal="center" vertical="center"/>
      <protection hidden="1"/>
    </xf>
    <xf numFmtId="0" fontId="40" fillId="4" borderId="50" xfId="0" applyFont="1" applyFill="1" applyBorder="1" applyAlignment="1" applyProtection="1">
      <alignment horizontal="center" vertical="center"/>
      <protection hidden="1"/>
    </xf>
    <xf numFmtId="0" fontId="40" fillId="4" borderId="119" xfId="0" applyFont="1" applyFill="1" applyBorder="1" applyAlignment="1" applyProtection="1">
      <alignment horizontal="center" vertical="center"/>
      <protection hidden="1"/>
    </xf>
    <xf numFmtId="14" fontId="8" fillId="0" borderId="0" xfId="0" applyNumberFormat="1" applyFont="1" applyAlignment="1">
      <alignment horizontal="left" vertical="center"/>
    </xf>
    <xf numFmtId="0" fontId="8" fillId="0" borderId="0" xfId="0" applyFont="1" applyAlignment="1">
      <alignment horizontal="left" vertical="center"/>
    </xf>
    <xf numFmtId="0" fontId="9" fillId="3" borderId="102" xfId="0" applyFont="1" applyFill="1" applyBorder="1" applyAlignment="1">
      <alignment horizontal="center" vertical="center"/>
    </xf>
    <xf numFmtId="0" fontId="9" fillId="3" borderId="103" xfId="0" applyFont="1" applyFill="1" applyBorder="1" applyAlignment="1">
      <alignment horizontal="center" vertical="center"/>
    </xf>
    <xf numFmtId="0" fontId="20" fillId="2" borderId="114" xfId="0" applyFont="1" applyFill="1" applyBorder="1" applyAlignment="1">
      <alignment horizontal="center" vertical="center" wrapText="1"/>
    </xf>
    <xf numFmtId="0" fontId="20" fillId="2" borderId="118" xfId="0" applyFont="1" applyFill="1" applyBorder="1" applyAlignment="1">
      <alignment horizontal="center" vertical="center" wrapText="1"/>
    </xf>
    <xf numFmtId="0" fontId="20" fillId="2" borderId="115" xfId="0" applyFont="1" applyFill="1" applyBorder="1" applyAlignment="1">
      <alignment horizontal="center" vertical="center" wrapText="1"/>
    </xf>
    <xf numFmtId="0" fontId="9" fillId="3" borderId="108" xfId="0" applyFont="1" applyFill="1" applyBorder="1" applyAlignment="1">
      <alignment horizontal="center" vertical="center"/>
    </xf>
    <xf numFmtId="0" fontId="9" fillId="3" borderId="109" xfId="0" applyFont="1" applyFill="1" applyBorder="1" applyAlignment="1">
      <alignment horizontal="center" vertical="center"/>
    </xf>
    <xf numFmtId="0" fontId="9" fillId="3" borderId="112" xfId="0" applyFont="1" applyFill="1" applyBorder="1" applyAlignment="1">
      <alignment horizontal="center" vertical="center"/>
    </xf>
    <xf numFmtId="0" fontId="9" fillId="3" borderId="113" xfId="0" applyFont="1" applyFill="1" applyBorder="1" applyAlignment="1">
      <alignment horizontal="center" vertical="center"/>
    </xf>
    <xf numFmtId="0" fontId="20" fillId="2" borderId="110" xfId="0" applyFont="1" applyFill="1" applyBorder="1" applyAlignment="1">
      <alignment horizontal="center" vertical="center" wrapText="1"/>
    </xf>
    <xf numFmtId="0" fontId="20" fillId="2" borderId="207" xfId="0" applyFont="1" applyFill="1" applyBorder="1" applyAlignment="1">
      <alignment horizontal="center" vertical="center" wrapText="1"/>
    </xf>
    <xf numFmtId="0" fontId="65" fillId="0" borderId="209" xfId="0" applyFont="1" applyBorder="1" applyAlignment="1">
      <alignment horizontal="center" vertical="center"/>
    </xf>
    <xf numFmtId="0" fontId="65" fillId="0" borderId="210" xfId="0" applyFont="1" applyBorder="1" applyAlignment="1">
      <alignment horizontal="center" vertical="center"/>
    </xf>
    <xf numFmtId="0" fontId="65" fillId="0" borderId="211" xfId="0" applyFont="1" applyBorder="1" applyAlignment="1">
      <alignment horizontal="center" vertical="center"/>
    </xf>
    <xf numFmtId="0" fontId="65" fillId="0" borderId="129" xfId="0" applyFont="1" applyBorder="1" applyAlignment="1">
      <alignment horizontal="center" vertical="center"/>
    </xf>
    <xf numFmtId="0" fontId="65" fillId="0" borderId="208" xfId="0" applyFont="1" applyBorder="1" applyAlignment="1">
      <alignment horizontal="center" vertical="center"/>
    </xf>
    <xf numFmtId="0" fontId="65" fillId="0" borderId="138" xfId="0" applyFont="1" applyBorder="1" applyAlignment="1">
      <alignment horizontal="center" vertical="center"/>
    </xf>
    <xf numFmtId="0" fontId="64" fillId="0" borderId="0" xfId="0" applyFont="1" applyAlignment="1">
      <alignment horizontal="center" vertical="center"/>
    </xf>
    <xf numFmtId="0" fontId="0" fillId="0" borderId="0" xfId="0" applyAlignment="1">
      <alignment horizontal="center" vertical="center"/>
    </xf>
    <xf numFmtId="0" fontId="0" fillId="0" borderId="208" xfId="0" applyBorder="1" applyAlignment="1">
      <alignment horizontal="center" vertical="center"/>
    </xf>
    <xf numFmtId="0" fontId="63" fillId="0" borderId="0" xfId="0" applyFont="1" applyAlignment="1">
      <alignment wrapText="1"/>
    </xf>
    <xf numFmtId="0" fontId="46" fillId="0" borderId="0" xfId="0" applyFont="1" applyAlignment="1">
      <alignment wrapText="1"/>
    </xf>
  </cellXfs>
  <cellStyles count="41">
    <cellStyle name="Hyperlink" xfId="1" builtinId="8"/>
    <cellStyle name="Normal" xfId="0" builtinId="0"/>
    <cellStyle name="Normal 10" xfId="2"/>
    <cellStyle name="Normal 10 2" xfId="3"/>
    <cellStyle name="Normal 10 3" xfId="4"/>
    <cellStyle name="Normal 11" xfId="5"/>
    <cellStyle name="Normal 11 2" xfId="6"/>
    <cellStyle name="Normal 11 3" xfId="7"/>
    <cellStyle name="Normal 13" xfId="8"/>
    <cellStyle name="Normal 14" xfId="9"/>
    <cellStyle name="Normal 2 10" xfId="10"/>
    <cellStyle name="Normal 2 11" xfId="11"/>
    <cellStyle name="Normal 2 2" xfId="12"/>
    <cellStyle name="Normal 2 3" xfId="13"/>
    <cellStyle name="Normal 2 4" xfId="14"/>
    <cellStyle name="Normal 2 5" xfId="15"/>
    <cellStyle name="Normal 2 6" xfId="16"/>
    <cellStyle name="Normal 2 7" xfId="17"/>
    <cellStyle name="Normal 2 8" xfId="18"/>
    <cellStyle name="Normal 2 9" xfId="19"/>
    <cellStyle name="Normal 3" xfId="20"/>
    <cellStyle name="Normal 3 2" xfId="21"/>
    <cellStyle name="Normal 3 3" xfId="22"/>
    <cellStyle name="Normal 4" xfId="23"/>
    <cellStyle name="Normal 4 2" xfId="24"/>
    <cellStyle name="Normal 4 3" xfId="25"/>
    <cellStyle name="Normal 5" xfId="26"/>
    <cellStyle name="Normal 5 2" xfId="27"/>
    <cellStyle name="Normal 5 3" xfId="28"/>
    <cellStyle name="Normal 6" xfId="29"/>
    <cellStyle name="Normal 6 2" xfId="30"/>
    <cellStyle name="Normal 6 3" xfId="31"/>
    <cellStyle name="Normal 7" xfId="32"/>
    <cellStyle name="Normal 7 2" xfId="33"/>
    <cellStyle name="Normal 7 3" xfId="34"/>
    <cellStyle name="Normal 8" xfId="35"/>
    <cellStyle name="Normal 8 2" xfId="36"/>
    <cellStyle name="Normal 8 3" xfId="37"/>
    <cellStyle name="Normal 9" xfId="38"/>
    <cellStyle name="Normal 9 2" xfId="39"/>
    <cellStyle name="Normal 9 3" xfId="40"/>
  </cellStyles>
  <dxfs count="43">
    <dxf>
      <font>
        <color theme="0"/>
      </font>
    </dxf>
    <dxf>
      <font>
        <color rgb="FF0070C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12</xdr:col>
      <xdr:colOff>0</xdr:colOff>
      <xdr:row>5</xdr:row>
      <xdr:rowOff>9525</xdr:rowOff>
    </xdr:from>
    <xdr:to>
      <xdr:col>12</xdr:col>
      <xdr:colOff>0</xdr:colOff>
      <xdr:row>8</xdr:row>
      <xdr:rowOff>304800</xdr:rowOff>
    </xdr:to>
    <xdr:sp macro="" textlink="">
      <xdr:nvSpPr>
        <xdr:cNvPr id="2" name="Text Box 1">
          <a:extLst>
            <a:ext uri="{FF2B5EF4-FFF2-40B4-BE49-F238E27FC236}">
              <a16:creationId xmlns:a16="http://schemas.microsoft.com/office/drawing/2014/main" id="{4419ECF6-E824-4EFF-7BB2-D454BC6407E0}"/>
            </a:ext>
          </a:extLst>
        </xdr:cNvPr>
        <xdr:cNvSpPr txBox="1">
          <a:spLocks noChangeArrowheads="1"/>
        </xdr:cNvSpPr>
      </xdr:nvSpPr>
      <xdr:spPr bwMode="auto">
        <a:xfrm>
          <a:off x="6800850" y="266700"/>
          <a:ext cx="0" cy="647700"/>
        </a:xfrm>
        <a:prstGeom prst="rect">
          <a:avLst/>
        </a:prstGeom>
        <a:noFill/>
        <a:ln w="9525">
          <a:noFill/>
          <a:miter lim="800000"/>
          <a:headEnd/>
          <a:tailEnd/>
        </a:ln>
      </xdr:spPr>
      <xdr:txBody>
        <a:bodyPr vertOverflow="clip" wrap="square" lIns="0" tIns="32004" rIns="36576" bIns="0" anchor="t" upright="1"/>
        <a:lstStyle/>
        <a:p>
          <a:pPr algn="r" rtl="0">
            <a:defRPr sz="1000"/>
          </a:pPr>
          <a:r>
            <a:rPr lang="en-GB" sz="1600" b="1" i="0" u="none" strike="noStrike" baseline="0">
              <a:solidFill>
                <a:srgbClr val="0066CC"/>
              </a:solidFill>
              <a:latin typeface="Arial"/>
              <a:cs typeface="Arial"/>
            </a:rPr>
            <a:t>Primary Scoresheet</a:t>
          </a:r>
        </a:p>
        <a:p>
          <a:pPr algn="r" rtl="0">
            <a:defRPr sz="1000"/>
          </a:pPr>
          <a:r>
            <a:rPr lang="en-GB" sz="1600" b="1" i="0" u="none" strike="noStrike" baseline="0">
              <a:solidFill>
                <a:srgbClr val="0066CC"/>
              </a:solidFill>
              <a:latin typeface="Arial"/>
              <a:cs typeface="Arial"/>
            </a:rPr>
            <a:t>Information</a:t>
          </a:r>
        </a:p>
      </xdr:txBody>
    </xdr:sp>
    <xdr:clientData/>
  </xdr:twoCellAnchor>
  <xdr:twoCellAnchor>
    <xdr:from>
      <xdr:col>12</xdr:col>
      <xdr:colOff>0</xdr:colOff>
      <xdr:row>5</xdr:row>
      <xdr:rowOff>9525</xdr:rowOff>
    </xdr:from>
    <xdr:to>
      <xdr:col>12</xdr:col>
      <xdr:colOff>0</xdr:colOff>
      <xdr:row>8</xdr:row>
      <xdr:rowOff>304800</xdr:rowOff>
    </xdr:to>
    <xdr:sp macro="" textlink="">
      <xdr:nvSpPr>
        <xdr:cNvPr id="4" name="Text Box 1">
          <a:extLst>
            <a:ext uri="{FF2B5EF4-FFF2-40B4-BE49-F238E27FC236}">
              <a16:creationId xmlns:a16="http://schemas.microsoft.com/office/drawing/2014/main" id="{DF713A6B-511E-D92E-E126-419BA169919C}"/>
            </a:ext>
          </a:extLst>
        </xdr:cNvPr>
        <xdr:cNvSpPr txBox="1">
          <a:spLocks noChangeArrowheads="1"/>
        </xdr:cNvSpPr>
      </xdr:nvSpPr>
      <xdr:spPr bwMode="auto">
        <a:xfrm>
          <a:off x="6800850" y="266700"/>
          <a:ext cx="0" cy="647700"/>
        </a:xfrm>
        <a:prstGeom prst="rect">
          <a:avLst/>
        </a:prstGeom>
        <a:noFill/>
        <a:ln w="9525">
          <a:noFill/>
          <a:miter lim="800000"/>
          <a:headEnd/>
          <a:tailEnd/>
        </a:ln>
      </xdr:spPr>
      <xdr:txBody>
        <a:bodyPr vertOverflow="clip" wrap="square" lIns="0" tIns="32004" rIns="36576" bIns="0" anchor="t" upright="1"/>
        <a:lstStyle/>
        <a:p>
          <a:pPr algn="r" rtl="0">
            <a:defRPr sz="1000"/>
          </a:pPr>
          <a:r>
            <a:rPr lang="en-GB" sz="1600" b="1" i="0" u="none" strike="noStrike" baseline="0">
              <a:solidFill>
                <a:srgbClr val="0066CC"/>
              </a:solidFill>
              <a:latin typeface="Arial"/>
              <a:cs typeface="Arial"/>
            </a:rPr>
            <a:t>Primary Scoresheet</a:t>
          </a:r>
        </a:p>
        <a:p>
          <a:pPr algn="r" rtl="0">
            <a:defRPr sz="1000"/>
          </a:pPr>
          <a:r>
            <a:rPr lang="en-GB" sz="1600" b="1" i="0" u="none" strike="noStrike" baseline="0">
              <a:solidFill>
                <a:srgbClr val="0066CC"/>
              </a:solidFill>
              <a:latin typeface="Arial"/>
              <a:cs typeface="Arial"/>
            </a:rPr>
            <a:t>Information</a:t>
          </a:r>
        </a:p>
      </xdr:txBody>
    </xdr:sp>
    <xdr:clientData/>
  </xdr:twoCellAnchor>
  <xdr:twoCellAnchor editAs="oneCell">
    <xdr:from>
      <xdr:col>1</xdr:col>
      <xdr:colOff>0</xdr:colOff>
      <xdr:row>1</xdr:row>
      <xdr:rowOff>0</xdr:rowOff>
    </xdr:from>
    <xdr:to>
      <xdr:col>4</xdr:col>
      <xdr:colOff>241300</xdr:colOff>
      <xdr:row>4</xdr:row>
      <xdr:rowOff>38100</xdr:rowOff>
    </xdr:to>
    <xdr:pic>
      <xdr:nvPicPr>
        <xdr:cNvPr id="146320" name="Picture 2">
          <a:extLst>
            <a:ext uri="{FF2B5EF4-FFF2-40B4-BE49-F238E27FC236}">
              <a16:creationId xmlns:a16="http://schemas.microsoft.com/office/drawing/2014/main" id="{0AAEC288-A276-3739-21DD-E57B177390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01600"/>
          <a:ext cx="29337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1543050</xdr:colOff>
      <xdr:row>4</xdr:row>
      <xdr:rowOff>31750</xdr:rowOff>
    </xdr:to>
    <xdr:pic>
      <xdr:nvPicPr>
        <xdr:cNvPr id="30139" name="Picture 2">
          <a:extLst>
            <a:ext uri="{FF2B5EF4-FFF2-40B4-BE49-F238E27FC236}">
              <a16:creationId xmlns:a16="http://schemas.microsoft.com/office/drawing/2014/main" id="{B3F65DFB-353D-030A-0479-BDFAFBAE5B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114300"/>
          <a:ext cx="2768600" cy="73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8</xdr:col>
      <xdr:colOff>139700</xdr:colOff>
      <xdr:row>4</xdr:row>
      <xdr:rowOff>31750</xdr:rowOff>
    </xdr:to>
    <xdr:pic>
      <xdr:nvPicPr>
        <xdr:cNvPr id="27188" name="Picture 3">
          <a:extLst>
            <a:ext uri="{FF2B5EF4-FFF2-40B4-BE49-F238E27FC236}">
              <a16:creationId xmlns:a16="http://schemas.microsoft.com/office/drawing/2014/main" id="{52E8D31A-5566-C032-DB63-11A3C18678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76200"/>
          <a:ext cx="263525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330200</xdr:colOff>
      <xdr:row>7</xdr:row>
      <xdr:rowOff>0</xdr:rowOff>
    </xdr:to>
    <xdr:pic>
      <xdr:nvPicPr>
        <xdr:cNvPr id="138500" name="Picture 1">
          <a:extLst>
            <a:ext uri="{FF2B5EF4-FFF2-40B4-BE49-F238E27FC236}">
              <a16:creationId xmlns:a16="http://schemas.microsoft.com/office/drawing/2014/main" id="{679322BA-3500-3546-6DAF-84FD78FF4A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000" y="114300"/>
          <a:ext cx="3632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82</xdr:row>
      <xdr:rowOff>0</xdr:rowOff>
    </xdr:from>
    <xdr:to>
      <xdr:col>11</xdr:col>
      <xdr:colOff>279400</xdr:colOff>
      <xdr:row>87</xdr:row>
      <xdr:rowOff>19050</xdr:rowOff>
    </xdr:to>
    <xdr:pic>
      <xdr:nvPicPr>
        <xdr:cNvPr id="31222" name="Picture 6">
          <a:extLst>
            <a:ext uri="{FF2B5EF4-FFF2-40B4-BE49-F238E27FC236}">
              <a16:creationId xmlns:a16="http://schemas.microsoft.com/office/drawing/2014/main" id="{02EE64CB-F90F-843C-7634-122B3D111C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00" y="6216650"/>
          <a:ext cx="363220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0</xdr:colOff>
      <xdr:row>82</xdr:row>
      <xdr:rowOff>0</xdr:rowOff>
    </xdr:from>
    <xdr:to>
      <xdr:col>44</xdr:col>
      <xdr:colOff>38100</xdr:colOff>
      <xdr:row>87</xdr:row>
      <xdr:rowOff>19050</xdr:rowOff>
    </xdr:to>
    <xdr:pic>
      <xdr:nvPicPr>
        <xdr:cNvPr id="31223" name="Picture 15">
          <a:extLst>
            <a:ext uri="{FF2B5EF4-FFF2-40B4-BE49-F238E27FC236}">
              <a16:creationId xmlns:a16="http://schemas.microsoft.com/office/drawing/2014/main" id="{2599675A-8383-2958-6789-5357282198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40950" y="6216650"/>
          <a:ext cx="3619500"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12700</xdr:colOff>
      <xdr:row>1</xdr:row>
      <xdr:rowOff>12700</xdr:rowOff>
    </xdr:from>
    <xdr:to>
      <xdr:col>2</xdr:col>
      <xdr:colOff>1765300</xdr:colOff>
      <xdr:row>3</xdr:row>
      <xdr:rowOff>38100</xdr:rowOff>
    </xdr:to>
    <xdr:pic>
      <xdr:nvPicPr>
        <xdr:cNvPr id="186431" name="Picture 1" descr="GR_SH_UKA_RGB">
          <a:extLst>
            <a:ext uri="{FF2B5EF4-FFF2-40B4-BE49-F238E27FC236}">
              <a16:creationId xmlns:a16="http://schemas.microsoft.com/office/drawing/2014/main" id="{8B6368C8-6E61-FB58-26C7-804823080D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171450"/>
          <a:ext cx="27813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2038350</xdr:colOff>
      <xdr:row>1</xdr:row>
      <xdr:rowOff>38100</xdr:rowOff>
    </xdr:from>
    <xdr:to>
      <xdr:col>5</xdr:col>
      <xdr:colOff>622346</xdr:colOff>
      <xdr:row>3</xdr:row>
      <xdr:rowOff>66675</xdr:rowOff>
    </xdr:to>
    <xdr:sp macro="" textlink="">
      <xdr:nvSpPr>
        <xdr:cNvPr id="3" name="TextBox 2">
          <a:extLst>
            <a:ext uri="{FF2B5EF4-FFF2-40B4-BE49-F238E27FC236}">
              <a16:creationId xmlns:a16="http://schemas.microsoft.com/office/drawing/2014/main" id="{0329EAA3-6906-66A0-EE3B-4BE1A7FDDA02}"/>
            </a:ext>
          </a:extLst>
        </xdr:cNvPr>
        <xdr:cNvSpPr txBox="1"/>
      </xdr:nvSpPr>
      <xdr:spPr>
        <a:xfrm>
          <a:off x="3505200" y="9842500"/>
          <a:ext cx="2997200" cy="485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400" b="1">
              <a:solidFill>
                <a:srgbClr val="0070C0"/>
              </a:solidFill>
              <a:latin typeface="Arial" pitchFamily="34" charset="0"/>
              <a:cs typeface="Arial" pitchFamily="34" charset="0"/>
            </a:rPr>
            <a:t>DISABILITY</a:t>
          </a:r>
          <a:r>
            <a:rPr lang="en-GB" sz="1400" b="1" baseline="0">
              <a:solidFill>
                <a:srgbClr val="0070C0"/>
              </a:solidFill>
              <a:latin typeface="Arial" pitchFamily="34" charset="0"/>
              <a:cs typeface="Arial" pitchFamily="34" charset="0"/>
            </a:rPr>
            <a:t> TEAM CHALLENGE</a:t>
          </a:r>
          <a:endParaRPr lang="en-GB" sz="1400" b="1">
            <a:solidFill>
              <a:srgbClr val="0070C0"/>
            </a:solidFill>
            <a:latin typeface="Arial" pitchFamily="34" charset="0"/>
            <a:cs typeface="Arial" pitchFamily="34" charset="0"/>
          </a:endParaRPr>
        </a:p>
      </xdr:txBody>
    </xdr:sp>
    <xdr:clientData/>
  </xdr:twoCellAnchor>
  <xdr:twoCellAnchor>
    <xdr:from>
      <xdr:col>9</xdr:col>
      <xdr:colOff>838200</xdr:colOff>
      <xdr:row>1</xdr:row>
      <xdr:rowOff>44450</xdr:rowOff>
    </xdr:from>
    <xdr:to>
      <xdr:col>14</xdr:col>
      <xdr:colOff>101643</xdr:colOff>
      <xdr:row>3</xdr:row>
      <xdr:rowOff>15761</xdr:rowOff>
    </xdr:to>
    <xdr:sp macro="" textlink="">
      <xdr:nvSpPr>
        <xdr:cNvPr id="24" name="TextBox 23">
          <a:extLst>
            <a:ext uri="{FF2B5EF4-FFF2-40B4-BE49-F238E27FC236}">
              <a16:creationId xmlns:a16="http://schemas.microsoft.com/office/drawing/2014/main" id="{836470C1-1981-F592-F40A-B40A11A40523}"/>
            </a:ext>
          </a:extLst>
        </xdr:cNvPr>
        <xdr:cNvSpPr txBox="1"/>
      </xdr:nvSpPr>
      <xdr:spPr>
        <a:xfrm>
          <a:off x="16357600" y="9918700"/>
          <a:ext cx="3073400" cy="422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0070C0"/>
              </a:solidFill>
              <a:latin typeface="Arial" pitchFamily="34" charset="0"/>
              <a:ea typeface="+mn-ea"/>
              <a:cs typeface="Arial" pitchFamily="34" charset="0"/>
            </a:rPr>
            <a:t>DISABILITY</a:t>
          </a:r>
          <a:r>
            <a:rPr lang="en-GB" sz="1400" b="1" baseline="0">
              <a:solidFill>
                <a:srgbClr val="0070C0"/>
              </a:solidFill>
              <a:latin typeface="Arial" pitchFamily="34" charset="0"/>
              <a:ea typeface="+mn-ea"/>
              <a:cs typeface="Arial" pitchFamily="34" charset="0"/>
            </a:rPr>
            <a:t> TEAM CHALLENGE</a:t>
          </a:r>
          <a:endParaRPr lang="en-GB" sz="1400" b="1">
            <a:solidFill>
              <a:srgbClr val="0070C0"/>
            </a:solidFill>
            <a:latin typeface="Arial" pitchFamily="34" charset="0"/>
            <a:ea typeface="+mn-ea"/>
            <a:cs typeface="Arial" pitchFamily="34" charset="0"/>
          </a:endParaRPr>
        </a:p>
        <a:p>
          <a:endParaRPr lang="en-GB" sz="1400">
            <a:solidFill>
              <a:srgbClr val="0070C0"/>
            </a:solidFill>
            <a:latin typeface="Arial" pitchFamily="34" charset="0"/>
            <a:cs typeface="Arial" pitchFamily="34" charset="0"/>
          </a:endParaRPr>
        </a:p>
      </xdr:txBody>
    </xdr:sp>
    <xdr:clientData/>
  </xdr:twoCellAnchor>
  <xdr:twoCellAnchor>
    <xdr:from>
      <xdr:col>17</xdr:col>
      <xdr:colOff>561975</xdr:colOff>
      <xdr:row>1</xdr:row>
      <xdr:rowOff>38100</xdr:rowOff>
    </xdr:from>
    <xdr:to>
      <xdr:col>21</xdr:col>
      <xdr:colOff>558800</xdr:colOff>
      <xdr:row>3</xdr:row>
      <xdr:rowOff>3175</xdr:rowOff>
    </xdr:to>
    <xdr:sp macro="" textlink="">
      <xdr:nvSpPr>
        <xdr:cNvPr id="26" name="TextBox 25">
          <a:extLst>
            <a:ext uri="{FF2B5EF4-FFF2-40B4-BE49-F238E27FC236}">
              <a16:creationId xmlns:a16="http://schemas.microsoft.com/office/drawing/2014/main" id="{6152DA04-BC0C-857B-87A5-A259A2765F82}"/>
            </a:ext>
          </a:extLst>
        </xdr:cNvPr>
        <xdr:cNvSpPr txBox="1"/>
      </xdr:nvSpPr>
      <xdr:spPr>
        <a:xfrm>
          <a:off x="22748875" y="9842500"/>
          <a:ext cx="3248025" cy="422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0070C0"/>
              </a:solidFill>
              <a:latin typeface="Arial" pitchFamily="34" charset="0"/>
              <a:ea typeface="+mn-ea"/>
              <a:cs typeface="Arial" pitchFamily="34" charset="0"/>
            </a:rPr>
            <a:t>DISABILITY</a:t>
          </a:r>
          <a:r>
            <a:rPr lang="en-GB" sz="1400" b="1" baseline="0">
              <a:solidFill>
                <a:srgbClr val="0070C0"/>
              </a:solidFill>
              <a:latin typeface="Arial" pitchFamily="34" charset="0"/>
              <a:ea typeface="+mn-ea"/>
              <a:cs typeface="Arial" pitchFamily="34" charset="0"/>
            </a:rPr>
            <a:t> TEAM CHALLENGE</a:t>
          </a:r>
          <a:endParaRPr lang="en-GB" sz="1400" b="1">
            <a:solidFill>
              <a:srgbClr val="0070C0"/>
            </a:solidFill>
            <a:latin typeface="Arial" pitchFamily="34" charset="0"/>
            <a:ea typeface="+mn-ea"/>
            <a:cs typeface="Arial" pitchFamily="34" charset="0"/>
          </a:endParaRPr>
        </a:p>
        <a:p>
          <a:endParaRPr lang="en-GB" sz="1400">
            <a:solidFill>
              <a:srgbClr val="0070C0"/>
            </a:solidFill>
            <a:latin typeface="Arial" pitchFamily="34" charset="0"/>
            <a:cs typeface="Arial" pitchFamily="34" charset="0"/>
          </a:endParaRPr>
        </a:p>
      </xdr:txBody>
    </xdr:sp>
    <xdr:clientData/>
  </xdr:twoCellAnchor>
  <xdr:twoCellAnchor>
    <xdr:from>
      <xdr:col>26</xdr:col>
      <xdr:colOff>98425</xdr:colOff>
      <xdr:row>1</xdr:row>
      <xdr:rowOff>44450</xdr:rowOff>
    </xdr:from>
    <xdr:to>
      <xdr:col>30</xdr:col>
      <xdr:colOff>133350</xdr:colOff>
      <xdr:row>3</xdr:row>
      <xdr:rowOff>15761</xdr:rowOff>
    </xdr:to>
    <xdr:sp macro="" textlink="">
      <xdr:nvSpPr>
        <xdr:cNvPr id="28" name="TextBox 27">
          <a:extLst>
            <a:ext uri="{FF2B5EF4-FFF2-40B4-BE49-F238E27FC236}">
              <a16:creationId xmlns:a16="http://schemas.microsoft.com/office/drawing/2014/main" id="{F9DEC50E-8CBD-4CB3-4F5F-E4B9F2800862}"/>
            </a:ext>
          </a:extLst>
        </xdr:cNvPr>
        <xdr:cNvSpPr txBox="1"/>
      </xdr:nvSpPr>
      <xdr:spPr>
        <a:xfrm>
          <a:off x="29429075" y="9855200"/>
          <a:ext cx="3197225" cy="422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0070C0"/>
              </a:solidFill>
              <a:latin typeface="Arial" pitchFamily="34" charset="0"/>
              <a:ea typeface="+mn-ea"/>
              <a:cs typeface="Arial" pitchFamily="34" charset="0"/>
            </a:rPr>
            <a:t>DISABILITY</a:t>
          </a:r>
          <a:r>
            <a:rPr lang="en-GB" sz="1400" b="1" baseline="0">
              <a:solidFill>
                <a:srgbClr val="0070C0"/>
              </a:solidFill>
              <a:latin typeface="Arial" pitchFamily="34" charset="0"/>
              <a:ea typeface="+mn-ea"/>
              <a:cs typeface="Arial" pitchFamily="34" charset="0"/>
            </a:rPr>
            <a:t> TEAM CHALLENGE</a:t>
          </a:r>
          <a:endParaRPr lang="en-GB" sz="1400" b="1">
            <a:solidFill>
              <a:srgbClr val="0070C0"/>
            </a:solidFill>
            <a:latin typeface="Arial" pitchFamily="34" charset="0"/>
            <a:ea typeface="+mn-ea"/>
            <a:cs typeface="Arial" pitchFamily="34" charset="0"/>
          </a:endParaRPr>
        </a:p>
        <a:p>
          <a:endParaRPr lang="en-GB" sz="1400">
            <a:solidFill>
              <a:srgbClr val="0070C0"/>
            </a:solidFill>
            <a:latin typeface="Arial" pitchFamily="34" charset="0"/>
            <a:cs typeface="Arial" pitchFamily="34" charset="0"/>
          </a:endParaRPr>
        </a:p>
      </xdr:txBody>
    </xdr:sp>
    <xdr:clientData/>
  </xdr:twoCellAnchor>
  <xdr:twoCellAnchor>
    <xdr:from>
      <xdr:col>33</xdr:col>
      <xdr:colOff>609600</xdr:colOff>
      <xdr:row>1</xdr:row>
      <xdr:rowOff>44450</xdr:rowOff>
    </xdr:from>
    <xdr:to>
      <xdr:col>37</xdr:col>
      <xdr:colOff>158763</xdr:colOff>
      <xdr:row>3</xdr:row>
      <xdr:rowOff>15761</xdr:rowOff>
    </xdr:to>
    <xdr:sp macro="" textlink="">
      <xdr:nvSpPr>
        <xdr:cNvPr id="30" name="TextBox 29">
          <a:extLst>
            <a:ext uri="{FF2B5EF4-FFF2-40B4-BE49-F238E27FC236}">
              <a16:creationId xmlns:a16="http://schemas.microsoft.com/office/drawing/2014/main" id="{7F996D35-CD80-74B5-AEB7-741C0CF91FAA}"/>
            </a:ext>
          </a:extLst>
        </xdr:cNvPr>
        <xdr:cNvSpPr txBox="1"/>
      </xdr:nvSpPr>
      <xdr:spPr>
        <a:xfrm>
          <a:off x="36055300" y="9918700"/>
          <a:ext cx="3022600" cy="422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0070C0"/>
              </a:solidFill>
              <a:latin typeface="Arial" pitchFamily="34" charset="0"/>
              <a:ea typeface="+mn-ea"/>
              <a:cs typeface="Arial" pitchFamily="34" charset="0"/>
            </a:rPr>
            <a:t>DISABILITY</a:t>
          </a:r>
          <a:r>
            <a:rPr lang="en-GB" sz="1400" b="1" baseline="0">
              <a:solidFill>
                <a:srgbClr val="0070C0"/>
              </a:solidFill>
              <a:latin typeface="Arial" pitchFamily="34" charset="0"/>
              <a:ea typeface="+mn-ea"/>
              <a:cs typeface="Arial" pitchFamily="34" charset="0"/>
            </a:rPr>
            <a:t> TEAM CHALLENGE</a:t>
          </a:r>
          <a:endParaRPr lang="en-GB" sz="1400" b="1">
            <a:solidFill>
              <a:srgbClr val="0070C0"/>
            </a:solidFill>
            <a:latin typeface="Arial" pitchFamily="34" charset="0"/>
            <a:ea typeface="+mn-ea"/>
            <a:cs typeface="Arial" pitchFamily="34" charset="0"/>
          </a:endParaRPr>
        </a:p>
        <a:p>
          <a:endParaRPr lang="en-GB" sz="1400">
            <a:solidFill>
              <a:srgbClr val="0070C0"/>
            </a:solidFill>
            <a:latin typeface="Arial" pitchFamily="34" charset="0"/>
            <a:cs typeface="Arial" pitchFamily="34" charset="0"/>
          </a:endParaRPr>
        </a:p>
      </xdr:txBody>
    </xdr:sp>
    <xdr:clientData/>
  </xdr:twoCellAnchor>
  <xdr:twoCellAnchor>
    <xdr:from>
      <xdr:col>41</xdr:col>
      <xdr:colOff>857250</xdr:colOff>
      <xdr:row>1</xdr:row>
      <xdr:rowOff>44450</xdr:rowOff>
    </xdr:from>
    <xdr:to>
      <xdr:col>45</xdr:col>
      <xdr:colOff>643426</xdr:colOff>
      <xdr:row>3</xdr:row>
      <xdr:rowOff>15761</xdr:rowOff>
    </xdr:to>
    <xdr:sp macro="" textlink="">
      <xdr:nvSpPr>
        <xdr:cNvPr id="32" name="TextBox 31">
          <a:extLst>
            <a:ext uri="{FF2B5EF4-FFF2-40B4-BE49-F238E27FC236}">
              <a16:creationId xmlns:a16="http://schemas.microsoft.com/office/drawing/2014/main" id="{AE322860-300B-6BBD-5D94-C1DF481C11D2}"/>
            </a:ext>
          </a:extLst>
        </xdr:cNvPr>
        <xdr:cNvSpPr txBox="1"/>
      </xdr:nvSpPr>
      <xdr:spPr>
        <a:xfrm>
          <a:off x="42684700" y="9855200"/>
          <a:ext cx="3009900" cy="422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0070C0"/>
              </a:solidFill>
              <a:latin typeface="Arial" pitchFamily="34" charset="0"/>
              <a:ea typeface="+mn-ea"/>
              <a:cs typeface="Arial" pitchFamily="34" charset="0"/>
            </a:rPr>
            <a:t>DISABILITY</a:t>
          </a:r>
          <a:r>
            <a:rPr lang="en-GB" sz="1400" b="1" baseline="0">
              <a:solidFill>
                <a:srgbClr val="0070C0"/>
              </a:solidFill>
              <a:latin typeface="Arial" pitchFamily="34" charset="0"/>
              <a:ea typeface="+mn-ea"/>
              <a:cs typeface="Arial" pitchFamily="34" charset="0"/>
            </a:rPr>
            <a:t> TEAM CHALLENGE</a:t>
          </a:r>
          <a:endParaRPr lang="en-GB" sz="1400" b="1">
            <a:solidFill>
              <a:srgbClr val="0070C0"/>
            </a:solidFill>
            <a:latin typeface="Arial" pitchFamily="34" charset="0"/>
            <a:ea typeface="+mn-ea"/>
            <a:cs typeface="Arial" pitchFamily="34" charset="0"/>
          </a:endParaRPr>
        </a:p>
        <a:p>
          <a:endParaRPr lang="en-GB" sz="1400">
            <a:solidFill>
              <a:srgbClr val="0070C0"/>
            </a:solidFill>
            <a:latin typeface="Arial" pitchFamily="34" charset="0"/>
            <a:cs typeface="Arial" pitchFamily="34" charset="0"/>
          </a:endParaRPr>
        </a:p>
      </xdr:txBody>
    </xdr:sp>
    <xdr:clientData/>
  </xdr:twoCellAnchor>
  <xdr:twoCellAnchor>
    <xdr:from>
      <xdr:col>49</xdr:col>
      <xdr:colOff>876300</xdr:colOff>
      <xdr:row>1</xdr:row>
      <xdr:rowOff>44450</xdr:rowOff>
    </xdr:from>
    <xdr:to>
      <xdr:col>54</xdr:col>
      <xdr:colOff>24</xdr:colOff>
      <xdr:row>3</xdr:row>
      <xdr:rowOff>15761</xdr:rowOff>
    </xdr:to>
    <xdr:sp macro="" textlink="">
      <xdr:nvSpPr>
        <xdr:cNvPr id="38" name="TextBox 37">
          <a:extLst>
            <a:ext uri="{FF2B5EF4-FFF2-40B4-BE49-F238E27FC236}">
              <a16:creationId xmlns:a16="http://schemas.microsoft.com/office/drawing/2014/main" id="{13A51BF7-1A24-C02C-ABC8-E5BDF1F11DE1}"/>
            </a:ext>
          </a:extLst>
        </xdr:cNvPr>
        <xdr:cNvSpPr txBox="1"/>
      </xdr:nvSpPr>
      <xdr:spPr>
        <a:xfrm>
          <a:off x="62217300" y="9855200"/>
          <a:ext cx="3022600" cy="422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400" b="1">
              <a:solidFill>
                <a:srgbClr val="0070C0"/>
              </a:solidFill>
              <a:latin typeface="Arial" pitchFamily="34" charset="0"/>
              <a:ea typeface="+mn-ea"/>
              <a:cs typeface="Arial" pitchFamily="34" charset="0"/>
            </a:rPr>
            <a:t>DISABILITY</a:t>
          </a:r>
          <a:r>
            <a:rPr lang="en-GB" sz="1400" b="1" baseline="0">
              <a:solidFill>
                <a:srgbClr val="0070C0"/>
              </a:solidFill>
              <a:latin typeface="Arial" pitchFamily="34" charset="0"/>
              <a:ea typeface="+mn-ea"/>
              <a:cs typeface="Arial" pitchFamily="34" charset="0"/>
            </a:rPr>
            <a:t> TEAM CHALLENGE</a:t>
          </a:r>
          <a:endParaRPr lang="en-GB" sz="1400" b="1">
            <a:solidFill>
              <a:srgbClr val="0070C0"/>
            </a:solidFill>
            <a:latin typeface="Arial" pitchFamily="34" charset="0"/>
            <a:ea typeface="+mn-ea"/>
            <a:cs typeface="Arial" pitchFamily="34" charset="0"/>
          </a:endParaRPr>
        </a:p>
        <a:p>
          <a:endParaRPr lang="en-GB" sz="1400">
            <a:solidFill>
              <a:srgbClr val="0070C0"/>
            </a:solidFill>
            <a:latin typeface="Arial" pitchFamily="34" charset="0"/>
            <a:cs typeface="Arial" pitchFamily="34" charset="0"/>
          </a:endParaRPr>
        </a:p>
      </xdr:txBody>
    </xdr:sp>
    <xdr:clientData/>
  </xdr:twoCellAnchor>
  <xdr:twoCellAnchor editAs="oneCell">
    <xdr:from>
      <xdr:col>23</xdr:col>
      <xdr:colOff>0</xdr:colOff>
      <xdr:row>1</xdr:row>
      <xdr:rowOff>0</xdr:rowOff>
    </xdr:from>
    <xdr:to>
      <xdr:col>25</xdr:col>
      <xdr:colOff>869950</xdr:colOff>
      <xdr:row>3</xdr:row>
      <xdr:rowOff>25400</xdr:rowOff>
    </xdr:to>
    <xdr:pic>
      <xdr:nvPicPr>
        <xdr:cNvPr id="186439" name="Picture 40" descr="GR_SH_UKA_RGB">
          <a:extLst>
            <a:ext uri="{FF2B5EF4-FFF2-40B4-BE49-F238E27FC236}">
              <a16:creationId xmlns:a16="http://schemas.microsoft.com/office/drawing/2014/main" id="{F212D60D-6F22-43B3-CD84-F916E89E5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75700" y="158750"/>
          <a:ext cx="27876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0</xdr:colOff>
      <xdr:row>1</xdr:row>
      <xdr:rowOff>0</xdr:rowOff>
    </xdr:from>
    <xdr:to>
      <xdr:col>33</xdr:col>
      <xdr:colOff>590550</xdr:colOff>
      <xdr:row>3</xdr:row>
      <xdr:rowOff>25400</xdr:rowOff>
    </xdr:to>
    <xdr:pic>
      <xdr:nvPicPr>
        <xdr:cNvPr id="186440" name="Picture 40" descr="GR_SH_UKA_RGB">
          <a:extLst>
            <a:ext uri="{FF2B5EF4-FFF2-40B4-BE49-F238E27FC236}">
              <a16:creationId xmlns:a16="http://schemas.microsoft.com/office/drawing/2014/main" id="{21618034-AE03-E635-4EE3-9B4C8AB4D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200350" y="158750"/>
          <a:ext cx="27876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0</xdr:colOff>
      <xdr:row>1</xdr:row>
      <xdr:rowOff>0</xdr:rowOff>
    </xdr:from>
    <xdr:to>
      <xdr:col>41</xdr:col>
      <xdr:colOff>787400</xdr:colOff>
      <xdr:row>3</xdr:row>
      <xdr:rowOff>25400</xdr:rowOff>
    </xdr:to>
    <xdr:pic>
      <xdr:nvPicPr>
        <xdr:cNvPr id="186441" name="Picture 40" descr="GR_SH_UKA_RGB">
          <a:extLst>
            <a:ext uri="{FF2B5EF4-FFF2-40B4-BE49-F238E27FC236}">
              <a16:creationId xmlns:a16="http://schemas.microsoft.com/office/drawing/2014/main" id="{AF98860C-2458-7730-53AB-4F43F24C47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67900" y="158750"/>
          <a:ext cx="27813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0</xdr:colOff>
      <xdr:row>1</xdr:row>
      <xdr:rowOff>0</xdr:rowOff>
    </xdr:from>
    <xdr:to>
      <xdr:col>49</xdr:col>
      <xdr:colOff>787400</xdr:colOff>
      <xdr:row>3</xdr:row>
      <xdr:rowOff>25400</xdr:rowOff>
    </xdr:to>
    <xdr:pic>
      <xdr:nvPicPr>
        <xdr:cNvPr id="186442" name="Picture 40" descr="GR_SH_UKA_RGB">
          <a:extLst>
            <a:ext uri="{FF2B5EF4-FFF2-40B4-BE49-F238E27FC236}">
              <a16:creationId xmlns:a16="http://schemas.microsoft.com/office/drawing/2014/main" id="{CA4184A7-3255-5799-5CA7-45BBC17F4C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49700" y="158750"/>
          <a:ext cx="27813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12700</xdr:colOff>
      <xdr:row>8</xdr:row>
      <xdr:rowOff>0</xdr:rowOff>
    </xdr:from>
    <xdr:to>
      <xdr:col>5</xdr:col>
      <xdr:colOff>0</xdr:colOff>
      <xdr:row>10</xdr:row>
      <xdr:rowOff>139700</xdr:rowOff>
    </xdr:to>
    <xdr:sp macro="" textlink="">
      <xdr:nvSpPr>
        <xdr:cNvPr id="86" name="TextBox 85">
          <a:extLst>
            <a:ext uri="{FF2B5EF4-FFF2-40B4-BE49-F238E27FC236}">
              <a16:creationId xmlns:a16="http://schemas.microsoft.com/office/drawing/2014/main" id="{B455F59D-147C-03C2-A5B2-B709426BB386}"/>
            </a:ext>
          </a:extLst>
        </xdr:cNvPr>
        <xdr:cNvSpPr txBox="1"/>
      </xdr:nvSpPr>
      <xdr:spPr>
        <a:xfrm>
          <a:off x="596900" y="11163300"/>
          <a:ext cx="5308600" cy="558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xdr:from>
      <xdr:col>7</xdr:col>
      <xdr:colOff>0</xdr:colOff>
      <xdr:row>8</xdr:row>
      <xdr:rowOff>0</xdr:rowOff>
    </xdr:from>
    <xdr:to>
      <xdr:col>13</xdr:col>
      <xdr:colOff>120650</xdr:colOff>
      <xdr:row>10</xdr:row>
      <xdr:rowOff>139700</xdr:rowOff>
    </xdr:to>
    <xdr:sp macro="" textlink="">
      <xdr:nvSpPr>
        <xdr:cNvPr id="88" name="TextBox 87">
          <a:extLst>
            <a:ext uri="{FF2B5EF4-FFF2-40B4-BE49-F238E27FC236}">
              <a16:creationId xmlns:a16="http://schemas.microsoft.com/office/drawing/2014/main" id="{68DA39C1-4871-9632-01C9-84B9C895B77D}"/>
            </a:ext>
          </a:extLst>
        </xdr:cNvPr>
        <xdr:cNvSpPr txBox="1"/>
      </xdr:nvSpPr>
      <xdr:spPr>
        <a:xfrm>
          <a:off x="13525500" y="11163300"/>
          <a:ext cx="5308600" cy="54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xdr:from>
      <xdr:col>15</xdr:col>
      <xdr:colOff>0</xdr:colOff>
      <xdr:row>8</xdr:row>
      <xdr:rowOff>0</xdr:rowOff>
    </xdr:from>
    <xdr:to>
      <xdr:col>19</xdr:col>
      <xdr:colOff>393689</xdr:colOff>
      <xdr:row>10</xdr:row>
      <xdr:rowOff>139700</xdr:rowOff>
    </xdr:to>
    <xdr:sp macro="" textlink="">
      <xdr:nvSpPr>
        <xdr:cNvPr id="89" name="TextBox 88">
          <a:extLst>
            <a:ext uri="{FF2B5EF4-FFF2-40B4-BE49-F238E27FC236}">
              <a16:creationId xmlns:a16="http://schemas.microsoft.com/office/drawing/2014/main" id="{EA4711D9-A268-0729-3170-1749B7488E2A}"/>
            </a:ext>
          </a:extLst>
        </xdr:cNvPr>
        <xdr:cNvSpPr txBox="1"/>
      </xdr:nvSpPr>
      <xdr:spPr>
        <a:xfrm>
          <a:off x="19913600" y="11163300"/>
          <a:ext cx="5308600" cy="54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xdr:from>
      <xdr:col>23</xdr:col>
      <xdr:colOff>0</xdr:colOff>
      <xdr:row>8</xdr:row>
      <xdr:rowOff>0</xdr:rowOff>
    </xdr:from>
    <xdr:to>
      <xdr:col>29</xdr:col>
      <xdr:colOff>82555</xdr:colOff>
      <xdr:row>10</xdr:row>
      <xdr:rowOff>139700</xdr:rowOff>
    </xdr:to>
    <xdr:sp macro="" textlink="">
      <xdr:nvSpPr>
        <xdr:cNvPr id="90" name="TextBox 89">
          <a:extLst>
            <a:ext uri="{FF2B5EF4-FFF2-40B4-BE49-F238E27FC236}">
              <a16:creationId xmlns:a16="http://schemas.microsoft.com/office/drawing/2014/main" id="{79011A1F-F3D5-2D90-5C1D-1E7D82D675F1}"/>
            </a:ext>
          </a:extLst>
        </xdr:cNvPr>
        <xdr:cNvSpPr txBox="1"/>
      </xdr:nvSpPr>
      <xdr:spPr>
        <a:xfrm>
          <a:off x="26657300" y="11163300"/>
          <a:ext cx="5308600" cy="54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xdr:from>
      <xdr:col>31</xdr:col>
      <xdr:colOff>0</xdr:colOff>
      <xdr:row>8</xdr:row>
      <xdr:rowOff>0</xdr:rowOff>
    </xdr:from>
    <xdr:to>
      <xdr:col>35</xdr:col>
      <xdr:colOff>387342</xdr:colOff>
      <xdr:row>10</xdr:row>
      <xdr:rowOff>139700</xdr:rowOff>
    </xdr:to>
    <xdr:sp macro="" textlink="">
      <xdr:nvSpPr>
        <xdr:cNvPr id="91" name="TextBox 90">
          <a:extLst>
            <a:ext uri="{FF2B5EF4-FFF2-40B4-BE49-F238E27FC236}">
              <a16:creationId xmlns:a16="http://schemas.microsoft.com/office/drawing/2014/main" id="{6B96E792-8A75-9DFC-7C60-68D4C7EB61AB}"/>
            </a:ext>
          </a:extLst>
        </xdr:cNvPr>
        <xdr:cNvSpPr txBox="1"/>
      </xdr:nvSpPr>
      <xdr:spPr>
        <a:xfrm>
          <a:off x="33083500" y="11163300"/>
          <a:ext cx="5308600" cy="54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xdr:from>
      <xdr:col>39</xdr:col>
      <xdr:colOff>0</xdr:colOff>
      <xdr:row>8</xdr:row>
      <xdr:rowOff>0</xdr:rowOff>
    </xdr:from>
    <xdr:to>
      <xdr:col>44</xdr:col>
      <xdr:colOff>120647</xdr:colOff>
      <xdr:row>10</xdr:row>
      <xdr:rowOff>139700</xdr:rowOff>
    </xdr:to>
    <xdr:sp macro="" textlink="">
      <xdr:nvSpPr>
        <xdr:cNvPr id="92" name="TextBox 91">
          <a:extLst>
            <a:ext uri="{FF2B5EF4-FFF2-40B4-BE49-F238E27FC236}">
              <a16:creationId xmlns:a16="http://schemas.microsoft.com/office/drawing/2014/main" id="{60185990-9470-8659-AB6B-CCD322B58C40}"/>
            </a:ext>
          </a:extLst>
        </xdr:cNvPr>
        <xdr:cNvSpPr txBox="1"/>
      </xdr:nvSpPr>
      <xdr:spPr>
        <a:xfrm>
          <a:off x="39827200" y="11163300"/>
          <a:ext cx="5308600" cy="54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xdr:from>
      <xdr:col>47</xdr:col>
      <xdr:colOff>0</xdr:colOff>
      <xdr:row>8</xdr:row>
      <xdr:rowOff>0</xdr:rowOff>
    </xdr:from>
    <xdr:to>
      <xdr:col>52</xdr:col>
      <xdr:colOff>120655</xdr:colOff>
      <xdr:row>10</xdr:row>
      <xdr:rowOff>139700</xdr:rowOff>
    </xdr:to>
    <xdr:sp macro="" textlink="">
      <xdr:nvSpPr>
        <xdr:cNvPr id="95" name="TextBox 94">
          <a:extLst>
            <a:ext uri="{FF2B5EF4-FFF2-40B4-BE49-F238E27FC236}">
              <a16:creationId xmlns:a16="http://schemas.microsoft.com/office/drawing/2014/main" id="{68A396CE-F5B1-5B5F-7364-271EAAFB90E4}"/>
            </a:ext>
          </a:extLst>
        </xdr:cNvPr>
        <xdr:cNvSpPr txBox="1"/>
      </xdr:nvSpPr>
      <xdr:spPr>
        <a:xfrm>
          <a:off x="59347100" y="11163300"/>
          <a:ext cx="5308600" cy="546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GB" sz="800" b="1">
            <a:solidFill>
              <a:srgbClr val="0070C0"/>
            </a:solidFill>
            <a:latin typeface="Arial" pitchFamily="34" charset="0"/>
            <a:cs typeface="Arial" pitchFamily="34" charset="0"/>
          </a:endParaRPr>
        </a:p>
        <a:p>
          <a:r>
            <a:rPr lang="en-GB" sz="1400" b="1">
              <a:solidFill>
                <a:srgbClr val="0070C0"/>
              </a:solidFill>
              <a:latin typeface="Arial" pitchFamily="34" charset="0"/>
              <a:cs typeface="Arial" pitchFamily="34" charset="0"/>
            </a:rPr>
            <a:t>SCHOOL __________________     GROUP</a:t>
          </a:r>
          <a:r>
            <a:rPr lang="en-GB" sz="1400" b="1" baseline="0">
              <a:solidFill>
                <a:srgbClr val="0070C0"/>
              </a:solidFill>
              <a:latin typeface="Arial" pitchFamily="34" charset="0"/>
              <a:cs typeface="Arial" pitchFamily="34" charset="0"/>
            </a:rPr>
            <a:t> ____________</a:t>
          </a:r>
          <a:endParaRPr lang="en-GB" sz="1400">
            <a:solidFill>
              <a:srgbClr val="0070C0"/>
            </a:solidFill>
            <a:latin typeface="Arial" pitchFamily="34" charset="0"/>
            <a:cs typeface="Arial" pitchFamily="34" charset="0"/>
          </a:endParaRPr>
        </a:p>
      </xdr:txBody>
    </xdr:sp>
    <xdr:clientData/>
  </xdr:twoCellAnchor>
  <xdr:twoCellAnchor editAs="oneCell">
    <xdr:from>
      <xdr:col>7</xdr:col>
      <xdr:colOff>0</xdr:colOff>
      <xdr:row>1</xdr:row>
      <xdr:rowOff>0</xdr:rowOff>
    </xdr:from>
    <xdr:to>
      <xdr:col>9</xdr:col>
      <xdr:colOff>838200</xdr:colOff>
      <xdr:row>3</xdr:row>
      <xdr:rowOff>25400</xdr:rowOff>
    </xdr:to>
    <xdr:pic>
      <xdr:nvPicPr>
        <xdr:cNvPr id="186450" name="Picture 40" descr="GR_SH_UKA_RGB">
          <a:extLst>
            <a:ext uri="{FF2B5EF4-FFF2-40B4-BE49-F238E27FC236}">
              <a16:creationId xmlns:a16="http://schemas.microsoft.com/office/drawing/2014/main" id="{7C4F0DE2-F1CB-B6E6-BEC5-CD8F4BA2F3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42200" y="158750"/>
          <a:ext cx="276860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17</xdr:col>
      <xdr:colOff>590550</xdr:colOff>
      <xdr:row>3</xdr:row>
      <xdr:rowOff>25400</xdr:rowOff>
    </xdr:to>
    <xdr:pic>
      <xdr:nvPicPr>
        <xdr:cNvPr id="186451" name="Picture 40" descr="GR_SH_UKA_RGB">
          <a:extLst>
            <a:ext uri="{FF2B5EF4-FFF2-40B4-BE49-F238E27FC236}">
              <a16:creationId xmlns:a16="http://schemas.microsoft.com/office/drawing/2014/main" id="{C87D21CF-B637-9DA6-6F5C-E0AC835415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08150" y="158750"/>
          <a:ext cx="2787650" cy="469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0</xdr:colOff>
      <xdr:row>3</xdr:row>
      <xdr:rowOff>133350</xdr:rowOff>
    </xdr:to>
    <xdr:pic>
      <xdr:nvPicPr>
        <xdr:cNvPr id="185808" name="Picture 1">
          <a:extLst>
            <a:ext uri="{FF2B5EF4-FFF2-40B4-BE49-F238E27FC236}">
              <a16:creationId xmlns:a16="http://schemas.microsoft.com/office/drawing/2014/main" id="{95A4C512-6EFB-6631-B7C4-20A406C265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76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22</xdr:row>
      <xdr:rowOff>0</xdr:rowOff>
    </xdr:from>
    <xdr:to>
      <xdr:col>3</xdr:col>
      <xdr:colOff>0</xdr:colOff>
      <xdr:row>24</xdr:row>
      <xdr:rowOff>133350</xdr:rowOff>
    </xdr:to>
    <xdr:pic>
      <xdr:nvPicPr>
        <xdr:cNvPr id="185809" name="Picture 7">
          <a:extLst>
            <a:ext uri="{FF2B5EF4-FFF2-40B4-BE49-F238E27FC236}">
              <a16:creationId xmlns:a16="http://schemas.microsoft.com/office/drawing/2014/main" id="{D9DB1A22-F15A-BA46-04E6-09766C5779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6997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43</xdr:row>
      <xdr:rowOff>0</xdr:rowOff>
    </xdr:from>
    <xdr:to>
      <xdr:col>3</xdr:col>
      <xdr:colOff>0</xdr:colOff>
      <xdr:row>45</xdr:row>
      <xdr:rowOff>133350</xdr:rowOff>
    </xdr:to>
    <xdr:pic>
      <xdr:nvPicPr>
        <xdr:cNvPr id="185810" name="Picture 9">
          <a:extLst>
            <a:ext uri="{FF2B5EF4-FFF2-40B4-BE49-F238E27FC236}">
              <a16:creationId xmlns:a16="http://schemas.microsoft.com/office/drawing/2014/main" id="{8C8F6D4C-6928-93CF-8F5D-6A0ED8E443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3919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3</xdr:col>
      <xdr:colOff>0</xdr:colOff>
      <xdr:row>66</xdr:row>
      <xdr:rowOff>133350</xdr:rowOff>
    </xdr:to>
    <xdr:pic>
      <xdr:nvPicPr>
        <xdr:cNvPr id="185811" name="Picture 10">
          <a:extLst>
            <a:ext uri="{FF2B5EF4-FFF2-40B4-BE49-F238E27FC236}">
              <a16:creationId xmlns:a16="http://schemas.microsoft.com/office/drawing/2014/main" id="{3BC3796E-26DA-E618-0D23-20F39D365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20840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85</xdr:row>
      <xdr:rowOff>0</xdr:rowOff>
    </xdr:from>
    <xdr:to>
      <xdr:col>3</xdr:col>
      <xdr:colOff>0</xdr:colOff>
      <xdr:row>87</xdr:row>
      <xdr:rowOff>133350</xdr:rowOff>
    </xdr:to>
    <xdr:pic>
      <xdr:nvPicPr>
        <xdr:cNvPr id="185812" name="Picture 12">
          <a:extLst>
            <a:ext uri="{FF2B5EF4-FFF2-40B4-BE49-F238E27FC236}">
              <a16:creationId xmlns:a16="http://schemas.microsoft.com/office/drawing/2014/main" id="{7888812E-0C82-83D6-FD9B-B39CA56BAD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27762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106</xdr:row>
      <xdr:rowOff>0</xdr:rowOff>
    </xdr:from>
    <xdr:to>
      <xdr:col>3</xdr:col>
      <xdr:colOff>0</xdr:colOff>
      <xdr:row>108</xdr:row>
      <xdr:rowOff>133350</xdr:rowOff>
    </xdr:to>
    <xdr:pic>
      <xdr:nvPicPr>
        <xdr:cNvPr id="185813" name="Picture 13">
          <a:extLst>
            <a:ext uri="{FF2B5EF4-FFF2-40B4-BE49-F238E27FC236}">
              <a16:creationId xmlns:a16="http://schemas.microsoft.com/office/drawing/2014/main" id="{22E9AD7D-BAE6-B81C-097D-8BD28C7D6B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34683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127</xdr:row>
      <xdr:rowOff>0</xdr:rowOff>
    </xdr:from>
    <xdr:to>
      <xdr:col>3</xdr:col>
      <xdr:colOff>0</xdr:colOff>
      <xdr:row>129</xdr:row>
      <xdr:rowOff>133350</xdr:rowOff>
    </xdr:to>
    <xdr:pic>
      <xdr:nvPicPr>
        <xdr:cNvPr id="185814" name="Picture 15">
          <a:extLst>
            <a:ext uri="{FF2B5EF4-FFF2-40B4-BE49-F238E27FC236}">
              <a16:creationId xmlns:a16="http://schemas.microsoft.com/office/drawing/2014/main" id="{D54EC493-4F98-027A-6F86-522446AD6E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41605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148</xdr:row>
      <xdr:rowOff>0</xdr:rowOff>
    </xdr:from>
    <xdr:to>
      <xdr:col>3</xdr:col>
      <xdr:colOff>0</xdr:colOff>
      <xdr:row>150</xdr:row>
      <xdr:rowOff>133350</xdr:rowOff>
    </xdr:to>
    <xdr:pic>
      <xdr:nvPicPr>
        <xdr:cNvPr id="185815" name="Picture 16">
          <a:extLst>
            <a:ext uri="{FF2B5EF4-FFF2-40B4-BE49-F238E27FC236}">
              <a16:creationId xmlns:a16="http://schemas.microsoft.com/office/drawing/2014/main" id="{FED75306-7247-2872-B7DE-5DCA69C54F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48526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169</xdr:row>
      <xdr:rowOff>0</xdr:rowOff>
    </xdr:from>
    <xdr:to>
      <xdr:col>3</xdr:col>
      <xdr:colOff>0</xdr:colOff>
      <xdr:row>171</xdr:row>
      <xdr:rowOff>133350</xdr:rowOff>
    </xdr:to>
    <xdr:pic>
      <xdr:nvPicPr>
        <xdr:cNvPr id="185816" name="Picture 17">
          <a:extLst>
            <a:ext uri="{FF2B5EF4-FFF2-40B4-BE49-F238E27FC236}">
              <a16:creationId xmlns:a16="http://schemas.microsoft.com/office/drawing/2014/main" id="{6D468A95-6BB5-B55B-EEC2-FBA05D17DD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55448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190</xdr:row>
      <xdr:rowOff>0</xdr:rowOff>
    </xdr:from>
    <xdr:to>
      <xdr:col>3</xdr:col>
      <xdr:colOff>0</xdr:colOff>
      <xdr:row>192</xdr:row>
      <xdr:rowOff>133350</xdr:rowOff>
    </xdr:to>
    <xdr:pic>
      <xdr:nvPicPr>
        <xdr:cNvPr id="185817" name="Picture 18">
          <a:extLst>
            <a:ext uri="{FF2B5EF4-FFF2-40B4-BE49-F238E27FC236}">
              <a16:creationId xmlns:a16="http://schemas.microsoft.com/office/drawing/2014/main" id="{CB6AA7BA-2494-5955-BEE5-05046F14A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62369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211</xdr:row>
      <xdr:rowOff>0</xdr:rowOff>
    </xdr:from>
    <xdr:to>
      <xdr:col>3</xdr:col>
      <xdr:colOff>0</xdr:colOff>
      <xdr:row>213</xdr:row>
      <xdr:rowOff>133350</xdr:rowOff>
    </xdr:to>
    <xdr:pic>
      <xdr:nvPicPr>
        <xdr:cNvPr id="185818" name="Picture 20">
          <a:extLst>
            <a:ext uri="{FF2B5EF4-FFF2-40B4-BE49-F238E27FC236}">
              <a16:creationId xmlns:a16="http://schemas.microsoft.com/office/drawing/2014/main" id="{7DC96733-7C3F-CB0D-A358-6BB79DA2C1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69291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232</xdr:row>
      <xdr:rowOff>0</xdr:rowOff>
    </xdr:from>
    <xdr:to>
      <xdr:col>3</xdr:col>
      <xdr:colOff>0</xdr:colOff>
      <xdr:row>234</xdr:row>
      <xdr:rowOff>133350</xdr:rowOff>
    </xdr:to>
    <xdr:pic>
      <xdr:nvPicPr>
        <xdr:cNvPr id="185819" name="Picture 21">
          <a:extLst>
            <a:ext uri="{FF2B5EF4-FFF2-40B4-BE49-F238E27FC236}">
              <a16:creationId xmlns:a16="http://schemas.microsoft.com/office/drawing/2014/main" id="{9B17AD3A-BA03-8FAB-2634-5DE11E0459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76212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253</xdr:row>
      <xdr:rowOff>0</xdr:rowOff>
    </xdr:from>
    <xdr:to>
      <xdr:col>3</xdr:col>
      <xdr:colOff>0</xdr:colOff>
      <xdr:row>255</xdr:row>
      <xdr:rowOff>133350</xdr:rowOff>
    </xdr:to>
    <xdr:pic>
      <xdr:nvPicPr>
        <xdr:cNvPr id="185820" name="Picture 23">
          <a:extLst>
            <a:ext uri="{FF2B5EF4-FFF2-40B4-BE49-F238E27FC236}">
              <a16:creationId xmlns:a16="http://schemas.microsoft.com/office/drawing/2014/main" id="{07832A78-0C6F-BBAA-97F8-B2F7897916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83134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274</xdr:row>
      <xdr:rowOff>0</xdr:rowOff>
    </xdr:from>
    <xdr:to>
      <xdr:col>3</xdr:col>
      <xdr:colOff>0</xdr:colOff>
      <xdr:row>276</xdr:row>
      <xdr:rowOff>133350</xdr:rowOff>
    </xdr:to>
    <xdr:pic>
      <xdr:nvPicPr>
        <xdr:cNvPr id="185821" name="Picture 24">
          <a:extLst>
            <a:ext uri="{FF2B5EF4-FFF2-40B4-BE49-F238E27FC236}">
              <a16:creationId xmlns:a16="http://schemas.microsoft.com/office/drawing/2014/main" id="{B5114D37-D4F1-BB83-BAFA-B81A689A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90055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295</xdr:row>
      <xdr:rowOff>0</xdr:rowOff>
    </xdr:from>
    <xdr:to>
      <xdr:col>3</xdr:col>
      <xdr:colOff>0</xdr:colOff>
      <xdr:row>297</xdr:row>
      <xdr:rowOff>133350</xdr:rowOff>
    </xdr:to>
    <xdr:pic>
      <xdr:nvPicPr>
        <xdr:cNvPr id="185822" name="Picture 25">
          <a:extLst>
            <a:ext uri="{FF2B5EF4-FFF2-40B4-BE49-F238E27FC236}">
              <a16:creationId xmlns:a16="http://schemas.microsoft.com/office/drawing/2014/main" id="{E21F766F-BE36-389A-4133-7ED4FDE8C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96977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316</xdr:row>
      <xdr:rowOff>0</xdr:rowOff>
    </xdr:from>
    <xdr:to>
      <xdr:col>3</xdr:col>
      <xdr:colOff>0</xdr:colOff>
      <xdr:row>318</xdr:row>
      <xdr:rowOff>133350</xdr:rowOff>
    </xdr:to>
    <xdr:pic>
      <xdr:nvPicPr>
        <xdr:cNvPr id="185823" name="Picture 26">
          <a:extLst>
            <a:ext uri="{FF2B5EF4-FFF2-40B4-BE49-F238E27FC236}">
              <a16:creationId xmlns:a16="http://schemas.microsoft.com/office/drawing/2014/main" id="{12B6AF28-932D-6BFB-5F30-E81EBEDEF5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03898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337</xdr:row>
      <xdr:rowOff>0</xdr:rowOff>
    </xdr:from>
    <xdr:to>
      <xdr:col>3</xdr:col>
      <xdr:colOff>0</xdr:colOff>
      <xdr:row>339</xdr:row>
      <xdr:rowOff>133350</xdr:rowOff>
    </xdr:to>
    <xdr:pic>
      <xdr:nvPicPr>
        <xdr:cNvPr id="185824" name="Picture 28">
          <a:extLst>
            <a:ext uri="{FF2B5EF4-FFF2-40B4-BE49-F238E27FC236}">
              <a16:creationId xmlns:a16="http://schemas.microsoft.com/office/drawing/2014/main" id="{EF9902A9-1833-6B4D-14D7-CF042A5F7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0820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358</xdr:row>
      <xdr:rowOff>0</xdr:rowOff>
    </xdr:from>
    <xdr:to>
      <xdr:col>3</xdr:col>
      <xdr:colOff>0</xdr:colOff>
      <xdr:row>360</xdr:row>
      <xdr:rowOff>133350</xdr:rowOff>
    </xdr:to>
    <xdr:pic>
      <xdr:nvPicPr>
        <xdr:cNvPr id="185825" name="Picture 29">
          <a:extLst>
            <a:ext uri="{FF2B5EF4-FFF2-40B4-BE49-F238E27FC236}">
              <a16:creationId xmlns:a16="http://schemas.microsoft.com/office/drawing/2014/main" id="{10084DAD-33D0-1B8A-6DBE-FC0300B6F6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17741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379</xdr:row>
      <xdr:rowOff>0</xdr:rowOff>
    </xdr:from>
    <xdr:to>
      <xdr:col>3</xdr:col>
      <xdr:colOff>0</xdr:colOff>
      <xdr:row>381</xdr:row>
      <xdr:rowOff>133350</xdr:rowOff>
    </xdr:to>
    <xdr:pic>
      <xdr:nvPicPr>
        <xdr:cNvPr id="185826" name="Picture 30">
          <a:extLst>
            <a:ext uri="{FF2B5EF4-FFF2-40B4-BE49-F238E27FC236}">
              <a16:creationId xmlns:a16="http://schemas.microsoft.com/office/drawing/2014/main" id="{18AB3A34-DF90-4381-8DE4-EBA7426097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246632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400</xdr:row>
      <xdr:rowOff>0</xdr:rowOff>
    </xdr:from>
    <xdr:to>
      <xdr:col>3</xdr:col>
      <xdr:colOff>0</xdr:colOff>
      <xdr:row>402</xdr:row>
      <xdr:rowOff>133350</xdr:rowOff>
    </xdr:to>
    <xdr:pic>
      <xdr:nvPicPr>
        <xdr:cNvPr id="185827" name="Picture 31">
          <a:extLst>
            <a:ext uri="{FF2B5EF4-FFF2-40B4-BE49-F238E27FC236}">
              <a16:creationId xmlns:a16="http://schemas.microsoft.com/office/drawing/2014/main" id="{828E7544-A9E6-B620-93CA-F3C056112D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131584700"/>
          <a:ext cx="201930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Z67"/>
  <sheetViews>
    <sheetView showGridLines="0" showRowColHeaders="0" tabSelected="1" zoomScale="75" zoomScaleNormal="75" workbookViewId="0">
      <selection activeCell="B39" sqref="B39:J41"/>
    </sheetView>
  </sheetViews>
  <sheetFormatPr defaultColWidth="9.1796875" defaultRowHeight="12.5" x14ac:dyDescent="0.25"/>
  <cols>
    <col min="1" max="1" width="3.26953125" style="8" customWidth="1"/>
    <col min="2" max="2" width="20.1796875" style="8" customWidth="1"/>
    <col min="3" max="5" width="9.1796875" style="8"/>
    <col min="6" max="6" width="4.7265625" style="8" customWidth="1"/>
    <col min="7" max="10" width="9.1796875" style="8"/>
    <col min="11" max="11" width="8.26953125" style="8" customWidth="1"/>
    <col min="12" max="12" width="1.7265625" style="8" customWidth="1"/>
    <col min="13" max="13" width="6.7265625" style="8" customWidth="1"/>
    <col min="14" max="14" width="16.26953125" style="8" customWidth="1"/>
    <col min="15" max="15" width="47.81640625" style="8" customWidth="1"/>
    <col min="16" max="16" width="31.26953125" style="8" customWidth="1"/>
    <col min="17" max="17" width="1.453125" style="8" customWidth="1"/>
    <col min="18" max="18" width="7.54296875" style="8" customWidth="1"/>
    <col min="19" max="19" width="11.1796875" style="8" customWidth="1"/>
    <col min="20" max="25" width="13.54296875" style="8" customWidth="1"/>
    <col min="26" max="16384" width="9.1796875" style="8"/>
  </cols>
  <sheetData>
    <row r="1" spans="2:26" ht="8.25" customHeight="1" x14ac:dyDescent="0.25"/>
    <row r="2" spans="2:26" ht="20.149999999999999" customHeight="1" x14ac:dyDescent="0.25">
      <c r="F2" s="592" t="s">
        <v>6173</v>
      </c>
      <c r="G2" s="592"/>
      <c r="H2" s="592"/>
      <c r="I2" s="592"/>
      <c r="J2" s="592"/>
      <c r="M2" s="590" t="s">
        <v>97</v>
      </c>
      <c r="N2" s="591"/>
      <c r="O2" s="591"/>
      <c r="R2" s="598" t="s">
        <v>6171</v>
      </c>
      <c r="S2" s="598"/>
      <c r="T2" s="598"/>
      <c r="U2" s="598"/>
      <c r="V2" s="598"/>
    </row>
    <row r="3" spans="2:26" ht="20.149999999999999" customHeight="1" x14ac:dyDescent="0.25">
      <c r="F3" s="592"/>
      <c r="G3" s="592"/>
      <c r="H3" s="592"/>
      <c r="I3" s="592"/>
      <c r="J3" s="592"/>
      <c r="M3" s="591"/>
      <c r="N3" s="591"/>
      <c r="O3" s="591"/>
      <c r="R3" s="599"/>
      <c r="S3" s="599"/>
      <c r="T3" s="599"/>
      <c r="U3" s="599"/>
      <c r="V3" s="599"/>
    </row>
    <row r="4" spans="2:26" ht="20.149999999999999" customHeight="1" thickBot="1" x14ac:dyDescent="0.4">
      <c r="F4" s="592" t="s">
        <v>6174</v>
      </c>
      <c r="G4" s="592"/>
      <c r="H4" s="592"/>
      <c r="I4" s="592"/>
      <c r="J4" s="592"/>
      <c r="N4" s="310"/>
      <c r="O4" s="5"/>
    </row>
    <row r="5" spans="2:26" ht="20.149999999999999" customHeight="1" thickBot="1" x14ac:dyDescent="0.55000000000000004">
      <c r="F5" s="592"/>
      <c r="G5" s="592"/>
      <c r="H5" s="592"/>
      <c r="I5" s="592"/>
      <c r="J5" s="592"/>
      <c r="K5" s="313"/>
      <c r="M5" s="603" t="s">
        <v>98</v>
      </c>
      <c r="N5" s="604"/>
      <c r="O5" s="604"/>
      <c r="P5" s="298"/>
      <c r="Q5" s="5"/>
      <c r="R5" s="615" t="s">
        <v>102</v>
      </c>
      <c r="S5" s="615" t="s">
        <v>103</v>
      </c>
      <c r="T5" s="615" t="s">
        <v>39</v>
      </c>
      <c r="U5" s="615" t="s">
        <v>36</v>
      </c>
      <c r="V5" s="615" t="s">
        <v>38</v>
      </c>
      <c r="W5" s="615" t="s">
        <v>37</v>
      </c>
      <c r="X5" s="615" t="s">
        <v>33</v>
      </c>
      <c r="Y5" s="615" t="s">
        <v>140</v>
      </c>
      <c r="Z5" s="616"/>
    </row>
    <row r="6" spans="2:26" ht="20.149999999999999" customHeight="1" thickBot="1" x14ac:dyDescent="0.55000000000000004">
      <c r="F6" s="593" t="s">
        <v>6175</v>
      </c>
      <c r="G6" s="593"/>
      <c r="H6" s="593"/>
      <c r="I6" s="593"/>
      <c r="J6" s="593"/>
      <c r="K6" s="313"/>
      <c r="M6" s="603" t="s">
        <v>99</v>
      </c>
      <c r="N6" s="605"/>
      <c r="O6" s="605"/>
      <c r="P6" s="298"/>
      <c r="Q6" s="5"/>
      <c r="R6" s="615"/>
      <c r="S6" s="615"/>
      <c r="T6" s="615"/>
      <c r="U6" s="615"/>
      <c r="V6" s="615"/>
      <c r="W6" s="615"/>
      <c r="X6" s="615"/>
      <c r="Y6" s="615"/>
      <c r="Z6" s="616"/>
    </row>
    <row r="7" spans="2:26" ht="20.149999999999999" customHeight="1" thickBot="1" x14ac:dyDescent="0.55000000000000004">
      <c r="F7" s="593"/>
      <c r="G7" s="593"/>
      <c r="H7" s="593"/>
      <c r="I7" s="593"/>
      <c r="J7" s="593"/>
      <c r="K7" s="313"/>
      <c r="M7" s="613" t="s">
        <v>100</v>
      </c>
      <c r="N7" s="613"/>
      <c r="O7" s="613"/>
      <c r="P7" s="298"/>
      <c r="Q7" s="5"/>
      <c r="R7" s="615"/>
      <c r="S7" s="615"/>
      <c r="T7" s="615"/>
      <c r="U7" s="615"/>
      <c r="V7" s="615"/>
      <c r="W7" s="615"/>
      <c r="X7" s="615"/>
      <c r="Y7" s="615"/>
      <c r="Z7" s="616"/>
    </row>
    <row r="8" spans="2:26" ht="20.149999999999999" customHeight="1" thickBot="1" x14ac:dyDescent="0.55000000000000004">
      <c r="G8" s="313"/>
      <c r="H8" s="313"/>
      <c r="I8" s="313"/>
      <c r="J8" s="313"/>
      <c r="K8" s="313"/>
      <c r="M8" s="603" t="s">
        <v>101</v>
      </c>
      <c r="N8" s="603"/>
      <c r="O8" s="603"/>
      <c r="P8" s="298"/>
      <c r="Q8" s="5"/>
      <c r="R8" s="611">
        <v>1</v>
      </c>
      <c r="S8" s="611" t="s">
        <v>141</v>
      </c>
      <c r="T8" s="612" t="s">
        <v>160</v>
      </c>
      <c r="U8" s="612" t="s">
        <v>143</v>
      </c>
      <c r="V8" s="612" t="s">
        <v>144</v>
      </c>
      <c r="W8" s="612" t="s">
        <v>145</v>
      </c>
      <c r="X8" s="612" t="s">
        <v>146</v>
      </c>
      <c r="Y8" s="612" t="s">
        <v>147</v>
      </c>
    </row>
    <row r="9" spans="2:26" ht="20.149999999999999" customHeight="1" thickBot="1" x14ac:dyDescent="0.35">
      <c r="B9" s="600" t="s">
        <v>83</v>
      </c>
      <c r="C9" s="601"/>
      <c r="D9" s="601"/>
      <c r="E9" s="9"/>
      <c r="F9" s="9"/>
      <c r="G9" s="9"/>
      <c r="H9" s="9"/>
      <c r="I9" s="9"/>
      <c r="J9" s="9"/>
      <c r="K9" s="9"/>
      <c r="P9" s="298"/>
      <c r="Q9" s="5"/>
      <c r="R9" s="611"/>
      <c r="S9" s="611" t="s">
        <v>141</v>
      </c>
      <c r="T9" s="612" t="s">
        <v>142</v>
      </c>
      <c r="U9" s="612" t="s">
        <v>143</v>
      </c>
      <c r="V9" s="612" t="s">
        <v>144</v>
      </c>
      <c r="W9" s="612" t="s">
        <v>145</v>
      </c>
      <c r="X9" s="612" t="s">
        <v>146</v>
      </c>
      <c r="Y9" s="612" t="s">
        <v>147</v>
      </c>
    </row>
    <row r="10" spans="2:26" ht="14.15" customHeight="1" thickBot="1" x14ac:dyDescent="0.3">
      <c r="B10" s="601"/>
      <c r="C10" s="601"/>
      <c r="D10" s="601"/>
      <c r="E10" s="5"/>
      <c r="F10" s="5"/>
      <c r="G10" s="5"/>
      <c r="H10" s="5"/>
      <c r="I10" s="5"/>
      <c r="J10" s="5"/>
      <c r="K10" s="5"/>
      <c r="M10" s="606" t="s">
        <v>102</v>
      </c>
      <c r="N10" s="606" t="s">
        <v>103</v>
      </c>
      <c r="O10" s="606" t="s">
        <v>6172</v>
      </c>
      <c r="P10" s="606" t="s">
        <v>105</v>
      </c>
      <c r="R10" s="611"/>
      <c r="S10" s="611" t="s">
        <v>141</v>
      </c>
      <c r="T10" s="612" t="s">
        <v>142</v>
      </c>
      <c r="U10" s="612" t="s">
        <v>143</v>
      </c>
      <c r="V10" s="612" t="s">
        <v>144</v>
      </c>
      <c r="W10" s="612" t="s">
        <v>145</v>
      </c>
      <c r="X10" s="612" t="s">
        <v>146</v>
      </c>
      <c r="Y10" s="612" t="s">
        <v>147</v>
      </c>
    </row>
    <row r="11" spans="2:26" ht="14.15" customHeight="1" thickBot="1" x14ac:dyDescent="0.3">
      <c r="B11" s="617" t="s">
        <v>6187</v>
      </c>
      <c r="C11" s="617"/>
      <c r="D11" s="617"/>
      <c r="E11" s="617"/>
      <c r="F11" s="617"/>
      <c r="G11" s="617"/>
      <c r="H11" s="617"/>
      <c r="I11" s="617"/>
      <c r="J11" s="617"/>
      <c r="K11" s="273"/>
      <c r="M11" s="607"/>
      <c r="N11" s="607"/>
      <c r="O11" s="607"/>
      <c r="P11" s="607"/>
      <c r="R11" s="611"/>
      <c r="S11" s="611" t="s">
        <v>141</v>
      </c>
      <c r="T11" s="612" t="s">
        <v>142</v>
      </c>
      <c r="U11" s="612" t="s">
        <v>143</v>
      </c>
      <c r="V11" s="612" t="s">
        <v>144</v>
      </c>
      <c r="W11" s="612" t="s">
        <v>145</v>
      </c>
      <c r="X11" s="612" t="s">
        <v>146</v>
      </c>
      <c r="Y11" s="612" t="s">
        <v>147</v>
      </c>
    </row>
    <row r="12" spans="2:26" ht="14.15" customHeight="1" thickBot="1" x14ac:dyDescent="0.35">
      <c r="B12" s="617"/>
      <c r="C12" s="617"/>
      <c r="D12" s="617"/>
      <c r="E12" s="617"/>
      <c r="F12" s="617"/>
      <c r="G12" s="617"/>
      <c r="H12" s="617"/>
      <c r="I12" s="617"/>
      <c r="J12" s="617"/>
      <c r="M12" s="308">
        <v>1</v>
      </c>
      <c r="N12" s="312" t="s">
        <v>104</v>
      </c>
      <c r="O12" s="597" t="s">
        <v>106</v>
      </c>
      <c r="P12" s="312"/>
      <c r="R12" s="611"/>
      <c r="S12" s="611" t="s">
        <v>141</v>
      </c>
      <c r="T12" s="612" t="s">
        <v>142</v>
      </c>
      <c r="U12" s="612" t="s">
        <v>143</v>
      </c>
      <c r="V12" s="612" t="s">
        <v>144</v>
      </c>
      <c r="W12" s="612" t="s">
        <v>145</v>
      </c>
      <c r="X12" s="612" t="s">
        <v>146</v>
      </c>
      <c r="Y12" s="612" t="s">
        <v>147</v>
      </c>
    </row>
    <row r="13" spans="2:26" ht="14.15" customHeight="1" thickBot="1" x14ac:dyDescent="0.35">
      <c r="B13" s="95" t="s">
        <v>6176</v>
      </c>
      <c r="C13" s="274"/>
      <c r="D13" s="274"/>
      <c r="E13" s="274"/>
      <c r="F13" s="274"/>
      <c r="G13" s="274"/>
      <c r="H13" s="274"/>
      <c r="I13" s="274"/>
      <c r="J13" s="274"/>
      <c r="K13" s="274"/>
      <c r="M13" s="309"/>
      <c r="N13" s="307"/>
      <c r="O13" s="596"/>
      <c r="P13" s="307"/>
      <c r="R13" s="611"/>
      <c r="S13" s="611" t="s">
        <v>141</v>
      </c>
      <c r="T13" s="612" t="s">
        <v>142</v>
      </c>
      <c r="U13" s="612" t="s">
        <v>143</v>
      </c>
      <c r="V13" s="612" t="s">
        <v>144</v>
      </c>
      <c r="W13" s="612" t="s">
        <v>145</v>
      </c>
      <c r="X13" s="612" t="s">
        <v>146</v>
      </c>
      <c r="Y13" s="612" t="s">
        <v>147</v>
      </c>
    </row>
    <row r="14" spans="2:26" ht="14.15" customHeight="1" thickBot="1" x14ac:dyDescent="0.35">
      <c r="B14" s="95" t="s">
        <v>6177</v>
      </c>
      <c r="C14" s="274"/>
      <c r="D14" s="274"/>
      <c r="E14" s="274"/>
      <c r="F14" s="274"/>
      <c r="G14" s="274"/>
      <c r="H14" s="274"/>
      <c r="I14" s="274"/>
      <c r="J14" s="273"/>
      <c r="K14" s="273"/>
      <c r="M14" s="301"/>
      <c r="N14" s="311"/>
      <c r="O14" s="595"/>
      <c r="P14" s="311"/>
      <c r="R14" s="614"/>
      <c r="S14" s="611"/>
      <c r="T14" s="612"/>
      <c r="U14" s="612"/>
      <c r="V14" s="612"/>
      <c r="W14" s="612"/>
      <c r="X14" s="612"/>
      <c r="Y14" s="612"/>
    </row>
    <row r="15" spans="2:26" ht="14.15" customHeight="1" thickBot="1" x14ac:dyDescent="0.35">
      <c r="B15" s="95"/>
      <c r="C15" s="5"/>
      <c r="D15" s="5"/>
      <c r="E15" s="5"/>
      <c r="F15" s="5"/>
      <c r="G15" s="5"/>
      <c r="H15" s="5"/>
      <c r="I15" s="5"/>
      <c r="J15" s="5"/>
      <c r="K15" s="5"/>
      <c r="M15" s="309">
        <v>2</v>
      </c>
      <c r="N15" s="307" t="s">
        <v>107</v>
      </c>
      <c r="O15" s="307" t="s">
        <v>108</v>
      </c>
      <c r="P15" s="307" t="s">
        <v>111</v>
      </c>
      <c r="R15" s="614"/>
      <c r="S15" s="611"/>
      <c r="T15" s="612"/>
      <c r="U15" s="612"/>
      <c r="V15" s="612"/>
      <c r="W15" s="612"/>
      <c r="X15" s="612"/>
      <c r="Y15" s="612"/>
    </row>
    <row r="16" spans="2:26" ht="14.15" customHeight="1" thickBot="1" x14ac:dyDescent="0.35">
      <c r="B16" s="95" t="s">
        <v>81</v>
      </c>
      <c r="C16"/>
      <c r="D16"/>
      <c r="E16" s="25"/>
      <c r="F16" s="276"/>
      <c r="G16" s="276"/>
      <c r="H16" s="276"/>
      <c r="I16" s="276"/>
      <c r="J16" s="276"/>
      <c r="K16" s="276"/>
      <c r="M16" s="309"/>
      <c r="N16" s="307"/>
      <c r="O16" s="307" t="s">
        <v>109</v>
      </c>
      <c r="P16" s="307"/>
      <c r="R16" s="611">
        <v>2</v>
      </c>
      <c r="S16" s="611" t="s">
        <v>148</v>
      </c>
      <c r="T16" s="612" t="s">
        <v>160</v>
      </c>
      <c r="U16" s="612" t="s">
        <v>143</v>
      </c>
      <c r="V16" s="612" t="s">
        <v>144</v>
      </c>
      <c r="W16" s="612" t="s">
        <v>149</v>
      </c>
      <c r="X16" s="612" t="s">
        <v>150</v>
      </c>
      <c r="Y16" s="612" t="s">
        <v>151</v>
      </c>
    </row>
    <row r="17" spans="2:25" ht="14.15" customHeight="1" thickBot="1" x14ac:dyDescent="0.35">
      <c r="B17" s="277"/>
      <c r="C17" s="277"/>
      <c r="D17" s="277"/>
      <c r="E17" s="277"/>
      <c r="F17" s="277"/>
      <c r="G17" s="277"/>
      <c r="H17" s="277"/>
      <c r="I17" s="277"/>
      <c r="J17" s="278"/>
      <c r="K17" s="278"/>
      <c r="M17" s="309"/>
      <c r="N17" s="307"/>
      <c r="O17" s="307" t="s">
        <v>110</v>
      </c>
      <c r="P17" s="594" t="s">
        <v>112</v>
      </c>
      <c r="R17" s="611"/>
      <c r="S17" s="611" t="s">
        <v>148</v>
      </c>
      <c r="T17" s="612" t="s">
        <v>142</v>
      </c>
      <c r="U17" s="612" t="s">
        <v>143</v>
      </c>
      <c r="V17" s="612" t="s">
        <v>144</v>
      </c>
      <c r="W17" s="612" t="s">
        <v>149</v>
      </c>
      <c r="X17" s="612" t="s">
        <v>150</v>
      </c>
      <c r="Y17" s="612" t="s">
        <v>151</v>
      </c>
    </row>
    <row r="18" spans="2:25" ht="14.15" customHeight="1" thickBot="1" x14ac:dyDescent="0.4">
      <c r="B18" s="284" t="s">
        <v>84</v>
      </c>
      <c r="K18" s="278"/>
      <c r="M18" s="309"/>
      <c r="N18" s="307"/>
      <c r="O18" s="307"/>
      <c r="P18" s="596"/>
      <c r="Q18" s="264"/>
      <c r="R18" s="611"/>
      <c r="S18" s="611" t="s">
        <v>148</v>
      </c>
      <c r="T18" s="612" t="s">
        <v>142</v>
      </c>
      <c r="U18" s="612" t="s">
        <v>143</v>
      </c>
      <c r="V18" s="612" t="s">
        <v>144</v>
      </c>
      <c r="W18" s="612" t="s">
        <v>149</v>
      </c>
      <c r="X18" s="612" t="s">
        <v>150</v>
      </c>
      <c r="Y18" s="612" t="s">
        <v>151</v>
      </c>
    </row>
    <row r="19" spans="2:25" ht="14.15" customHeight="1" thickBot="1" x14ac:dyDescent="0.35">
      <c r="B19" s="95" t="s">
        <v>6178</v>
      </c>
      <c r="C19" s="306"/>
      <c r="D19" s="306"/>
      <c r="E19" s="306"/>
      <c r="F19" s="306"/>
      <c r="K19" s="280"/>
      <c r="M19" s="299"/>
      <c r="N19" s="300"/>
      <c r="O19" s="307"/>
      <c r="P19" s="595"/>
      <c r="Q19" s="264"/>
      <c r="R19" s="611"/>
      <c r="S19" s="611" t="s">
        <v>148</v>
      </c>
      <c r="T19" s="612" t="s">
        <v>142</v>
      </c>
      <c r="U19" s="612" t="s">
        <v>143</v>
      </c>
      <c r="V19" s="612" t="s">
        <v>144</v>
      </c>
      <c r="W19" s="612" t="s">
        <v>149</v>
      </c>
      <c r="X19" s="612" t="s">
        <v>150</v>
      </c>
      <c r="Y19" s="612" t="s">
        <v>151</v>
      </c>
    </row>
    <row r="20" spans="2:25" ht="14.15" customHeight="1" thickBot="1" x14ac:dyDescent="0.35">
      <c r="B20" s="617" t="s">
        <v>85</v>
      </c>
      <c r="C20" s="617"/>
      <c r="D20" s="617"/>
      <c r="E20" s="617"/>
      <c r="F20" s="617"/>
      <c r="K20" s="275"/>
      <c r="M20" s="302">
        <v>3</v>
      </c>
      <c r="N20" s="312" t="s">
        <v>113</v>
      </c>
      <c r="O20" s="597" t="s">
        <v>114</v>
      </c>
      <c r="P20" s="608" t="s">
        <v>119</v>
      </c>
      <c r="Q20" s="264"/>
      <c r="R20" s="611"/>
      <c r="S20" s="611" t="s">
        <v>148</v>
      </c>
      <c r="T20" s="612" t="s">
        <v>142</v>
      </c>
      <c r="U20" s="612" t="s">
        <v>143</v>
      </c>
      <c r="V20" s="612" t="s">
        <v>144</v>
      </c>
      <c r="W20" s="612" t="s">
        <v>149</v>
      </c>
      <c r="X20" s="612" t="s">
        <v>150</v>
      </c>
      <c r="Y20" s="612" t="s">
        <v>151</v>
      </c>
    </row>
    <row r="21" spans="2:25" ht="14.15" customHeight="1" thickBot="1" x14ac:dyDescent="0.35">
      <c r="K21" s="278"/>
      <c r="M21" s="299"/>
      <c r="N21" s="307"/>
      <c r="O21" s="596"/>
      <c r="P21" s="609"/>
      <c r="R21" s="611"/>
      <c r="S21" s="611" t="s">
        <v>148</v>
      </c>
      <c r="T21" s="612" t="s">
        <v>142</v>
      </c>
      <c r="U21" s="612" t="s">
        <v>143</v>
      </c>
      <c r="V21" s="612" t="s">
        <v>144</v>
      </c>
      <c r="W21" s="612" t="s">
        <v>149</v>
      </c>
      <c r="X21" s="612" t="s">
        <v>150</v>
      </c>
      <c r="Y21" s="612" t="s">
        <v>151</v>
      </c>
    </row>
    <row r="22" spans="2:25" ht="14.15" customHeight="1" thickBot="1" x14ac:dyDescent="0.4">
      <c r="B22" s="279" t="s">
        <v>89</v>
      </c>
      <c r="K22" s="277"/>
      <c r="M22" s="309"/>
      <c r="N22" s="307"/>
      <c r="O22" s="594" t="s">
        <v>115</v>
      </c>
      <c r="P22" s="609"/>
      <c r="R22" s="611"/>
      <c r="S22" s="611" t="s">
        <v>148</v>
      </c>
      <c r="T22" s="612" t="s">
        <v>142</v>
      </c>
      <c r="U22" s="612" t="s">
        <v>143</v>
      </c>
      <c r="V22" s="612" t="s">
        <v>144</v>
      </c>
      <c r="W22" s="612" t="s">
        <v>149</v>
      </c>
      <c r="X22" s="612" t="s">
        <v>150</v>
      </c>
      <c r="Y22" s="612" t="s">
        <v>151</v>
      </c>
    </row>
    <row r="23" spans="2:25" ht="14.15" customHeight="1" thickBot="1" x14ac:dyDescent="0.35">
      <c r="B23" s="617" t="s">
        <v>90</v>
      </c>
      <c r="C23" s="617"/>
      <c r="D23" s="617"/>
      <c r="E23" s="617"/>
      <c r="F23" s="617"/>
      <c r="G23" s="617"/>
      <c r="H23" s="617"/>
      <c r="I23" s="617"/>
      <c r="J23" s="617"/>
      <c r="K23" s="277"/>
      <c r="M23" s="309"/>
      <c r="N23" s="307"/>
      <c r="O23" s="596"/>
      <c r="P23" s="609"/>
      <c r="R23" s="611"/>
      <c r="S23" s="611" t="s">
        <v>148</v>
      </c>
      <c r="T23" s="612" t="s">
        <v>142</v>
      </c>
      <c r="U23" s="612" t="s">
        <v>143</v>
      </c>
      <c r="V23" s="612" t="s">
        <v>144</v>
      </c>
      <c r="W23" s="612" t="s">
        <v>149</v>
      </c>
      <c r="X23" s="612" t="s">
        <v>150</v>
      </c>
      <c r="Y23" s="612" t="s">
        <v>151</v>
      </c>
    </row>
    <row r="24" spans="2:25" ht="14.15" customHeight="1" thickBot="1" x14ac:dyDescent="0.35">
      <c r="B24" s="617"/>
      <c r="C24" s="617"/>
      <c r="D24" s="617"/>
      <c r="E24" s="617"/>
      <c r="F24" s="617"/>
      <c r="G24" s="617"/>
      <c r="H24" s="617"/>
      <c r="I24" s="617"/>
      <c r="J24" s="617"/>
      <c r="K24" s="278"/>
      <c r="M24" s="299"/>
      <c r="N24" s="300"/>
      <c r="O24" s="307" t="s">
        <v>116</v>
      </c>
      <c r="P24" s="609"/>
      <c r="R24" s="611">
        <v>3</v>
      </c>
      <c r="S24" s="611" t="s">
        <v>152</v>
      </c>
      <c r="T24" s="612" t="s">
        <v>153</v>
      </c>
      <c r="U24" s="612" t="s">
        <v>154</v>
      </c>
      <c r="V24" s="612" t="s">
        <v>155</v>
      </c>
      <c r="W24" s="612" t="s">
        <v>156</v>
      </c>
      <c r="X24" s="612" t="s">
        <v>157</v>
      </c>
      <c r="Y24" s="612" t="s">
        <v>151</v>
      </c>
    </row>
    <row r="25" spans="2:25" ht="14.15" customHeight="1" thickBot="1" x14ac:dyDescent="0.35">
      <c r="B25" s="617"/>
      <c r="C25" s="617"/>
      <c r="D25" s="617"/>
      <c r="E25" s="617"/>
      <c r="F25" s="617"/>
      <c r="G25" s="617"/>
      <c r="H25" s="617"/>
      <c r="I25" s="617"/>
      <c r="J25" s="617"/>
      <c r="K25" s="278"/>
      <c r="M25" s="299"/>
      <c r="N25" s="300"/>
      <c r="O25" s="307" t="s">
        <v>117</v>
      </c>
      <c r="P25" s="609"/>
      <c r="R25" s="611"/>
      <c r="S25" s="611" t="s">
        <v>152</v>
      </c>
      <c r="T25" s="612" t="s">
        <v>153</v>
      </c>
      <c r="U25" s="612" t="s">
        <v>154</v>
      </c>
      <c r="V25" s="612" t="s">
        <v>155</v>
      </c>
      <c r="W25" s="612" t="s">
        <v>156</v>
      </c>
      <c r="X25" s="612" t="s">
        <v>157</v>
      </c>
      <c r="Y25" s="612" t="s">
        <v>151</v>
      </c>
    </row>
    <row r="26" spans="2:25" ht="14.15" customHeight="1" thickBot="1" x14ac:dyDescent="0.35">
      <c r="B26" s="617"/>
      <c r="C26" s="617"/>
      <c r="D26" s="617"/>
      <c r="E26" s="617"/>
      <c r="F26" s="617"/>
      <c r="G26" s="617"/>
      <c r="H26" s="617"/>
      <c r="I26" s="617"/>
      <c r="J26" s="617"/>
      <c r="K26" s="278"/>
      <c r="M26" s="299"/>
      <c r="N26" s="300"/>
      <c r="O26" s="594" t="s">
        <v>118</v>
      </c>
      <c r="P26" s="609"/>
      <c r="R26" s="611"/>
      <c r="S26" s="611" t="s">
        <v>152</v>
      </c>
      <c r="T26" s="612" t="s">
        <v>153</v>
      </c>
      <c r="U26" s="612" t="s">
        <v>154</v>
      </c>
      <c r="V26" s="612" t="s">
        <v>155</v>
      </c>
      <c r="W26" s="612" t="s">
        <v>156</v>
      </c>
      <c r="X26" s="612" t="s">
        <v>157</v>
      </c>
      <c r="Y26" s="612" t="s">
        <v>151</v>
      </c>
    </row>
    <row r="27" spans="2:25" ht="14.15" customHeight="1" thickBot="1" x14ac:dyDescent="0.35">
      <c r="K27" s="278"/>
      <c r="M27" s="303"/>
      <c r="N27" s="304"/>
      <c r="O27" s="595"/>
      <c r="P27" s="610"/>
      <c r="R27" s="611"/>
      <c r="S27" s="611" t="s">
        <v>152</v>
      </c>
      <c r="T27" s="612" t="s">
        <v>153</v>
      </c>
      <c r="U27" s="612" t="s">
        <v>154</v>
      </c>
      <c r="V27" s="612" t="s">
        <v>155</v>
      </c>
      <c r="W27" s="612" t="s">
        <v>156</v>
      </c>
      <c r="X27" s="612" t="s">
        <v>157</v>
      </c>
      <c r="Y27" s="612" t="s">
        <v>151</v>
      </c>
    </row>
    <row r="28" spans="2:25" ht="14.15" customHeight="1" thickBot="1" x14ac:dyDescent="0.4">
      <c r="B28" s="279" t="s">
        <v>87</v>
      </c>
      <c r="C28" s="278"/>
      <c r="D28" s="277"/>
      <c r="E28" s="277"/>
      <c r="F28" s="277"/>
      <c r="G28" s="277"/>
      <c r="H28" s="277"/>
      <c r="I28" s="277"/>
      <c r="J28" s="277"/>
      <c r="K28" s="278"/>
      <c r="M28" s="302">
        <v>4</v>
      </c>
      <c r="N28" s="312" t="s">
        <v>120</v>
      </c>
      <c r="O28" s="312" t="s">
        <v>121</v>
      </c>
      <c r="P28" s="608" t="s">
        <v>127</v>
      </c>
      <c r="R28" s="611"/>
      <c r="S28" s="611" t="s">
        <v>152</v>
      </c>
      <c r="T28" s="612" t="s">
        <v>153</v>
      </c>
      <c r="U28" s="612" t="s">
        <v>154</v>
      </c>
      <c r="V28" s="612" t="s">
        <v>155</v>
      </c>
      <c r="W28" s="612" t="s">
        <v>156</v>
      </c>
      <c r="X28" s="612" t="s">
        <v>157</v>
      </c>
      <c r="Y28" s="612" t="s">
        <v>151</v>
      </c>
    </row>
    <row r="29" spans="2:25" ht="14.15" customHeight="1" thickBot="1" x14ac:dyDescent="0.35">
      <c r="B29" s="619" t="s">
        <v>86</v>
      </c>
      <c r="C29" s="619"/>
      <c r="D29" s="619"/>
      <c r="E29" s="619"/>
      <c r="F29" s="619"/>
      <c r="G29" s="619"/>
      <c r="H29" s="619"/>
      <c r="I29" s="619"/>
      <c r="J29" s="619"/>
      <c r="K29" s="278"/>
      <c r="M29" s="300"/>
      <c r="N29" s="307"/>
      <c r="O29" s="594" t="s">
        <v>122</v>
      </c>
      <c r="P29" s="609"/>
      <c r="R29" s="611"/>
      <c r="S29" s="611" t="s">
        <v>152</v>
      </c>
      <c r="T29" s="612" t="s">
        <v>153</v>
      </c>
      <c r="U29" s="612" t="s">
        <v>154</v>
      </c>
      <c r="V29" s="612" t="s">
        <v>155</v>
      </c>
      <c r="W29" s="612" t="s">
        <v>156</v>
      </c>
      <c r="X29" s="612" t="s">
        <v>157</v>
      </c>
      <c r="Y29" s="612" t="s">
        <v>151</v>
      </c>
    </row>
    <row r="30" spans="2:25" ht="14.15" customHeight="1" thickBot="1" x14ac:dyDescent="0.35">
      <c r="B30" s="619"/>
      <c r="C30" s="619"/>
      <c r="D30" s="619"/>
      <c r="E30" s="619"/>
      <c r="F30" s="619"/>
      <c r="G30" s="619"/>
      <c r="H30" s="619"/>
      <c r="I30" s="619"/>
      <c r="J30" s="619"/>
      <c r="K30" s="278"/>
      <c r="M30" s="300"/>
      <c r="N30" s="307"/>
      <c r="O30" s="596"/>
      <c r="P30" s="609"/>
      <c r="R30" s="611"/>
      <c r="S30" s="611" t="s">
        <v>152</v>
      </c>
      <c r="T30" s="612" t="s">
        <v>153</v>
      </c>
      <c r="U30" s="612" t="s">
        <v>154</v>
      </c>
      <c r="V30" s="612" t="s">
        <v>155</v>
      </c>
      <c r="W30" s="612" t="s">
        <v>156</v>
      </c>
      <c r="X30" s="612" t="s">
        <v>157</v>
      </c>
      <c r="Y30" s="612" t="s">
        <v>151</v>
      </c>
    </row>
    <row r="31" spans="2:25" ht="14.15" customHeight="1" thickBot="1" x14ac:dyDescent="0.35">
      <c r="B31"/>
      <c r="C31" s="277"/>
      <c r="D31" s="277"/>
      <c r="E31" s="277"/>
      <c r="F31" s="277"/>
      <c r="G31" s="277"/>
      <c r="H31" s="277"/>
      <c r="I31" s="277"/>
      <c r="J31" s="278"/>
      <c r="K31" s="278"/>
      <c r="M31" s="300"/>
      <c r="N31" s="300"/>
      <c r="O31" s="594" t="s">
        <v>123</v>
      </c>
      <c r="P31" s="609"/>
      <c r="R31" s="611"/>
      <c r="S31" s="611" t="s">
        <v>152</v>
      </c>
      <c r="T31" s="612" t="s">
        <v>153</v>
      </c>
      <c r="U31" s="612" t="s">
        <v>154</v>
      </c>
      <c r="V31" s="612" t="s">
        <v>155</v>
      </c>
      <c r="W31" s="612" t="s">
        <v>156</v>
      </c>
      <c r="X31" s="612" t="s">
        <v>157</v>
      </c>
      <c r="Y31" s="612" t="s">
        <v>151</v>
      </c>
    </row>
    <row r="32" spans="2:25" ht="14.15" customHeight="1" thickBot="1" x14ac:dyDescent="0.4">
      <c r="B32" s="279" t="s">
        <v>88</v>
      </c>
      <c r="C32" s="278"/>
      <c r="D32" s="278"/>
      <c r="E32" s="278"/>
      <c r="F32" s="278"/>
      <c r="G32" s="278"/>
      <c r="H32" s="278"/>
      <c r="I32" s="278"/>
      <c r="J32" s="278"/>
      <c r="K32" s="278"/>
      <c r="M32" s="300"/>
      <c r="N32" s="300"/>
      <c r="O32" s="596"/>
      <c r="P32" s="609"/>
      <c r="R32" s="611">
        <v>4</v>
      </c>
      <c r="S32" s="611" t="s">
        <v>158</v>
      </c>
      <c r="T32" s="612" t="s">
        <v>153</v>
      </c>
      <c r="U32" s="612" t="s">
        <v>159</v>
      </c>
      <c r="V32" s="612" t="s">
        <v>159</v>
      </c>
      <c r="W32" s="612" t="s">
        <v>149</v>
      </c>
      <c r="X32" s="612" t="s">
        <v>159</v>
      </c>
      <c r="Y32" s="612" t="s">
        <v>159</v>
      </c>
    </row>
    <row r="33" spans="2:25" ht="15" customHeight="1" thickBot="1" x14ac:dyDescent="0.35">
      <c r="B33" s="618" t="s">
        <v>96</v>
      </c>
      <c r="C33" s="618"/>
      <c r="D33" s="618"/>
      <c r="E33" s="618"/>
      <c r="F33" s="618"/>
      <c r="G33" s="618"/>
      <c r="H33" s="618"/>
      <c r="I33" s="618"/>
      <c r="J33" s="618"/>
      <c r="K33" s="278"/>
      <c r="M33" s="300"/>
      <c r="N33" s="587"/>
      <c r="O33" s="594" t="s">
        <v>124</v>
      </c>
      <c r="P33" s="609"/>
      <c r="R33" s="611"/>
      <c r="S33" s="611" t="s">
        <v>158</v>
      </c>
      <c r="T33" s="612" t="s">
        <v>153</v>
      </c>
      <c r="U33" s="612" t="s">
        <v>159</v>
      </c>
      <c r="V33" s="612" t="s">
        <v>159</v>
      </c>
      <c r="W33" s="612" t="s">
        <v>149</v>
      </c>
      <c r="X33" s="612" t="s">
        <v>159</v>
      </c>
      <c r="Y33" s="612" t="s">
        <v>159</v>
      </c>
    </row>
    <row r="34" spans="2:25" ht="13" thickBot="1" x14ac:dyDescent="0.3">
      <c r="B34" s="618"/>
      <c r="C34" s="618"/>
      <c r="D34" s="618"/>
      <c r="E34" s="618"/>
      <c r="F34" s="618"/>
      <c r="G34" s="618"/>
      <c r="H34" s="618"/>
      <c r="I34" s="618"/>
      <c r="J34" s="618"/>
      <c r="K34" s="278"/>
      <c r="M34" s="587"/>
      <c r="N34" s="588"/>
      <c r="O34" s="596"/>
      <c r="P34" s="609"/>
      <c r="R34" s="611"/>
      <c r="S34" s="611" t="s">
        <v>158</v>
      </c>
      <c r="T34" s="612" t="s">
        <v>153</v>
      </c>
      <c r="U34" s="612" t="s">
        <v>159</v>
      </c>
      <c r="V34" s="612" t="s">
        <v>159</v>
      </c>
      <c r="W34" s="612" t="s">
        <v>149</v>
      </c>
      <c r="X34" s="612" t="s">
        <v>159</v>
      </c>
      <c r="Y34" s="612" t="s">
        <v>159</v>
      </c>
    </row>
    <row r="35" spans="2:25" ht="14.15" customHeight="1" thickBot="1" x14ac:dyDescent="0.3">
      <c r="B35" s="5"/>
      <c r="C35" s="278"/>
      <c r="D35" s="278"/>
      <c r="E35" s="278"/>
      <c r="F35" s="278"/>
      <c r="G35" s="278"/>
      <c r="H35" s="278"/>
      <c r="I35" s="278"/>
      <c r="J35" s="278"/>
      <c r="K35" s="5"/>
      <c r="M35" s="588"/>
      <c r="N35" s="588"/>
      <c r="O35" s="594" t="s">
        <v>125</v>
      </c>
      <c r="P35" s="609"/>
      <c r="R35" s="611"/>
      <c r="S35" s="611" t="s">
        <v>158</v>
      </c>
      <c r="T35" s="612" t="s">
        <v>153</v>
      </c>
      <c r="U35" s="612" t="s">
        <v>159</v>
      </c>
      <c r="V35" s="612" t="s">
        <v>159</v>
      </c>
      <c r="W35" s="612" t="s">
        <v>149</v>
      </c>
      <c r="X35" s="612" t="s">
        <v>159</v>
      </c>
      <c r="Y35" s="612" t="s">
        <v>159</v>
      </c>
    </row>
    <row r="36" spans="2:25" ht="14.15" customHeight="1" thickBot="1" x14ac:dyDescent="0.4">
      <c r="B36" s="279" t="s">
        <v>82</v>
      </c>
      <c r="C36" s="278"/>
      <c r="D36" s="278"/>
      <c r="E36" s="278"/>
      <c r="F36" s="278"/>
      <c r="G36" s="278"/>
      <c r="H36" s="278"/>
      <c r="I36" s="278"/>
      <c r="J36" s="278"/>
      <c r="K36" s="5"/>
      <c r="M36" s="588"/>
      <c r="N36" s="588"/>
      <c r="O36" s="596"/>
      <c r="P36" s="609"/>
      <c r="R36" s="611"/>
      <c r="S36" s="611" t="s">
        <v>158</v>
      </c>
      <c r="T36" s="612" t="s">
        <v>153</v>
      </c>
      <c r="U36" s="612" t="s">
        <v>159</v>
      </c>
      <c r="V36" s="612" t="s">
        <v>159</v>
      </c>
      <c r="W36" s="612" t="s">
        <v>149</v>
      </c>
      <c r="X36" s="612" t="s">
        <v>159</v>
      </c>
      <c r="Y36" s="612" t="s">
        <v>159</v>
      </c>
    </row>
    <row r="37" spans="2:25" ht="14.15" customHeight="1" thickBot="1" x14ac:dyDescent="0.35">
      <c r="B37" s="282" t="s">
        <v>95</v>
      </c>
      <c r="C37" s="283"/>
      <c r="D37" s="283"/>
      <c r="E37" s="283"/>
      <c r="F37" s="283"/>
      <c r="G37" s="283"/>
      <c r="H37" s="283"/>
      <c r="I37" s="283"/>
      <c r="J37" s="283"/>
      <c r="K37" s="5"/>
      <c r="M37" s="588"/>
      <c r="N37" s="588"/>
      <c r="O37" s="594" t="s">
        <v>126</v>
      </c>
      <c r="P37" s="609"/>
      <c r="R37" s="611"/>
      <c r="S37" s="611" t="s">
        <v>158</v>
      </c>
      <c r="T37" s="612" t="s">
        <v>153</v>
      </c>
      <c r="U37" s="612" t="s">
        <v>159</v>
      </c>
      <c r="V37" s="612" t="s">
        <v>159</v>
      </c>
      <c r="W37" s="612" t="s">
        <v>149</v>
      </c>
      <c r="X37" s="612" t="s">
        <v>159</v>
      </c>
      <c r="Y37" s="612" t="s">
        <v>159</v>
      </c>
    </row>
    <row r="38" spans="2:25" ht="14.15" customHeight="1" thickBot="1" x14ac:dyDescent="0.3">
      <c r="B38" s="5"/>
      <c r="C38" s="5"/>
      <c r="D38" s="5"/>
      <c r="E38" s="5"/>
      <c r="F38" s="5"/>
      <c r="G38" s="5"/>
      <c r="H38" s="5"/>
      <c r="I38" s="5"/>
      <c r="J38" s="5"/>
      <c r="K38" s="5"/>
      <c r="M38" s="588"/>
      <c r="N38" s="588"/>
      <c r="O38" s="594"/>
      <c r="P38" s="609"/>
      <c r="R38" s="611"/>
      <c r="S38" s="611" t="s">
        <v>158</v>
      </c>
      <c r="T38" s="612" t="s">
        <v>153</v>
      </c>
      <c r="U38" s="612" t="s">
        <v>159</v>
      </c>
      <c r="V38" s="612" t="s">
        <v>159</v>
      </c>
      <c r="W38" s="612" t="s">
        <v>149</v>
      </c>
      <c r="X38" s="612" t="s">
        <v>159</v>
      </c>
      <c r="Y38" s="612" t="s">
        <v>159</v>
      </c>
    </row>
    <row r="39" spans="2:25" ht="14.15" customHeight="1" thickBot="1" x14ac:dyDescent="0.3">
      <c r="B39" s="617" t="s">
        <v>6179</v>
      </c>
      <c r="C39" s="617"/>
      <c r="D39" s="617"/>
      <c r="E39" s="617"/>
      <c r="F39" s="617"/>
      <c r="G39" s="617"/>
      <c r="H39" s="617"/>
      <c r="I39" s="617"/>
      <c r="J39" s="617"/>
      <c r="K39" s="5"/>
      <c r="M39" s="588"/>
      <c r="N39" s="588"/>
      <c r="O39" s="596"/>
      <c r="P39" s="596"/>
      <c r="R39" s="611"/>
      <c r="S39" s="611" t="s">
        <v>158</v>
      </c>
      <c r="T39" s="612" t="s">
        <v>153</v>
      </c>
      <c r="U39" s="612" t="s">
        <v>159</v>
      </c>
      <c r="V39" s="612" t="s">
        <v>159</v>
      </c>
      <c r="W39" s="612" t="s">
        <v>149</v>
      </c>
      <c r="X39" s="612" t="s">
        <v>159</v>
      </c>
      <c r="Y39" s="612" t="s">
        <v>159</v>
      </c>
    </row>
    <row r="40" spans="2:25" ht="14.15" customHeight="1" thickBot="1" x14ac:dyDescent="0.3">
      <c r="B40" s="617"/>
      <c r="C40" s="617"/>
      <c r="D40" s="617"/>
      <c r="E40" s="617"/>
      <c r="F40" s="617"/>
      <c r="G40" s="617"/>
      <c r="H40" s="617"/>
      <c r="I40" s="617"/>
      <c r="J40" s="617"/>
      <c r="K40" s="5"/>
      <c r="M40" s="589"/>
      <c r="N40" s="589"/>
      <c r="O40" s="595"/>
      <c r="P40" s="595"/>
    </row>
    <row r="41" spans="2:25" ht="14.15" customHeight="1" x14ac:dyDescent="0.25">
      <c r="B41" s="617"/>
      <c r="C41" s="617"/>
      <c r="D41" s="617"/>
      <c r="E41" s="617"/>
      <c r="F41" s="617"/>
      <c r="G41" s="617"/>
      <c r="H41" s="617"/>
      <c r="I41" s="617"/>
      <c r="J41" s="617"/>
    </row>
    <row r="42" spans="2:25" ht="14.15" customHeight="1" x14ac:dyDescent="0.25">
      <c r="C42" s="5"/>
      <c r="D42" s="5"/>
      <c r="E42" s="5"/>
      <c r="F42" s="5"/>
      <c r="G42" s="5"/>
      <c r="H42" s="5"/>
      <c r="I42" s="5"/>
      <c r="J42" s="5"/>
      <c r="N42" s="602" t="s">
        <v>128</v>
      </c>
      <c r="O42" s="602"/>
    </row>
    <row r="43" spans="2:25" ht="14.15" customHeight="1" x14ac:dyDescent="0.25">
      <c r="N43" s="305"/>
      <c r="O43" s="305"/>
    </row>
    <row r="44" spans="2:25" ht="12.75" customHeight="1" x14ac:dyDescent="0.25"/>
    <row r="46" spans="2:25" ht="12.75" customHeight="1" x14ac:dyDescent="0.25"/>
    <row r="47" spans="2:25" ht="13.5" customHeight="1" x14ac:dyDescent="0.25"/>
    <row r="49" spans="3:10" ht="12.75" customHeight="1" x14ac:dyDescent="0.25"/>
    <row r="51" spans="3:10" ht="12.75" customHeight="1" x14ac:dyDescent="0.25"/>
    <row r="52" spans="3:10" ht="12.75" customHeight="1" x14ac:dyDescent="0.25"/>
    <row r="53" spans="3:10" ht="12.75" customHeight="1" x14ac:dyDescent="0.25"/>
    <row r="55" spans="3:10" ht="12.75" customHeight="1" x14ac:dyDescent="0.25"/>
    <row r="56" spans="3:10" ht="12.75" customHeight="1" x14ac:dyDescent="0.25"/>
    <row r="57" spans="3:10" ht="12.75" customHeight="1" x14ac:dyDescent="0.25"/>
    <row r="58" spans="3:10" ht="12.75" customHeight="1" x14ac:dyDescent="0.25"/>
    <row r="59" spans="3:10" ht="12.75" customHeight="1" x14ac:dyDescent="0.25"/>
    <row r="60" spans="3:10" ht="12.75" customHeight="1" x14ac:dyDescent="0.3">
      <c r="C60" s="264"/>
      <c r="D60" s="264"/>
      <c r="E60" s="264"/>
      <c r="F60" s="264"/>
      <c r="G60" s="264"/>
      <c r="H60" s="264"/>
      <c r="I60" s="264"/>
      <c r="J60" s="264"/>
    </row>
    <row r="61" spans="3:10" ht="12.75" customHeight="1" x14ac:dyDescent="0.25"/>
    <row r="64" spans="3:10" ht="14" x14ac:dyDescent="0.3">
      <c r="C64" s="264"/>
      <c r="D64" s="264"/>
      <c r="E64" s="264"/>
      <c r="F64" s="264"/>
      <c r="G64" s="264"/>
      <c r="H64" s="264"/>
      <c r="I64" s="264"/>
      <c r="J64" s="264"/>
    </row>
    <row r="65" spans="3:10" ht="14" x14ac:dyDescent="0.3">
      <c r="C65" s="264"/>
      <c r="D65" s="264"/>
      <c r="E65" s="264"/>
      <c r="F65" s="264"/>
      <c r="G65" s="264"/>
      <c r="H65" s="264"/>
      <c r="I65" s="264"/>
      <c r="J65" s="264"/>
    </row>
    <row r="67" spans="3:10" ht="14" x14ac:dyDescent="0.3">
      <c r="C67" s="281"/>
      <c r="D67" s="281"/>
      <c r="E67" s="281"/>
      <c r="F67" s="281"/>
      <c r="G67" s="281"/>
      <c r="H67" s="281"/>
      <c r="I67" s="281"/>
      <c r="J67" s="281"/>
    </row>
  </sheetData>
  <sheetProtection password="CC28" sheet="1"/>
  <mergeCells count="76">
    <mergeCell ref="B11:J12"/>
    <mergeCell ref="B39:J41"/>
    <mergeCell ref="X32:X39"/>
    <mergeCell ref="Y32:Y39"/>
    <mergeCell ref="B33:J34"/>
    <mergeCell ref="B29:J30"/>
    <mergeCell ref="B23:J26"/>
    <mergeCell ref="B20:F20"/>
    <mergeCell ref="R32:R39"/>
    <mergeCell ref="S32:S39"/>
    <mergeCell ref="U32:U39"/>
    <mergeCell ref="V32:V39"/>
    <mergeCell ref="W32:W39"/>
    <mergeCell ref="X16:X23"/>
    <mergeCell ref="S16:S23"/>
    <mergeCell ref="T16:T23"/>
    <mergeCell ref="U16:U23"/>
    <mergeCell ref="V16:V23"/>
    <mergeCell ref="U24:U31"/>
    <mergeCell ref="V24:V31"/>
    <mergeCell ref="W24:W31"/>
    <mergeCell ref="X24:X31"/>
    <mergeCell ref="Y24:Y31"/>
    <mergeCell ref="R16:R23"/>
    <mergeCell ref="W16:W23"/>
    <mergeCell ref="U8:U15"/>
    <mergeCell ref="V8:V15"/>
    <mergeCell ref="W8:W15"/>
    <mergeCell ref="X8:X15"/>
    <mergeCell ref="Y8:Y15"/>
    <mergeCell ref="Y16:Y23"/>
    <mergeCell ref="Y5:Y7"/>
    <mergeCell ref="Z5:Z7"/>
    <mergeCell ref="R5:R7"/>
    <mergeCell ref="S5:S7"/>
    <mergeCell ref="T5:T7"/>
    <mergeCell ref="U5:U7"/>
    <mergeCell ref="V5:V7"/>
    <mergeCell ref="W5:W7"/>
    <mergeCell ref="X5:X7"/>
    <mergeCell ref="M7:O7"/>
    <mergeCell ref="M8:O8"/>
    <mergeCell ref="N10:N11"/>
    <mergeCell ref="O10:O11"/>
    <mergeCell ref="P10:P11"/>
    <mergeCell ref="R8:R15"/>
    <mergeCell ref="O22:O23"/>
    <mergeCell ref="P17:P19"/>
    <mergeCell ref="P20:P27"/>
    <mergeCell ref="S8:S15"/>
    <mergeCell ref="T8:T15"/>
    <mergeCell ref="R24:R31"/>
    <mergeCell ref="S24:S31"/>
    <mergeCell ref="T24:T31"/>
    <mergeCell ref="P28:P40"/>
    <mergeCell ref="T32:T39"/>
    <mergeCell ref="R2:V3"/>
    <mergeCell ref="B9:D10"/>
    <mergeCell ref="N42:O42"/>
    <mergeCell ref="O31:O32"/>
    <mergeCell ref="O33:O34"/>
    <mergeCell ref="O35:O36"/>
    <mergeCell ref="M5:O5"/>
    <mergeCell ref="M6:O6"/>
    <mergeCell ref="M10:M11"/>
    <mergeCell ref="N33:N40"/>
    <mergeCell ref="M34:M40"/>
    <mergeCell ref="M2:O3"/>
    <mergeCell ref="F2:J3"/>
    <mergeCell ref="F4:J5"/>
    <mergeCell ref="F6:J7"/>
    <mergeCell ref="O26:O27"/>
    <mergeCell ref="O29:O30"/>
    <mergeCell ref="O37:O40"/>
    <mergeCell ref="O12:O14"/>
    <mergeCell ref="O20:O21"/>
  </mergeCells>
  <hyperlinks>
    <hyperlink ref="B36" location="'Score Sheets'!A1" display="Scoresheets"/>
    <hyperlink ref="B18" location="'Competition Menu'!A1" display="Competition Menu"/>
    <hyperlink ref="B22" location="Input!A1" display="Input"/>
    <hyperlink ref="B28" location="Relays!A1" display="Relays"/>
    <hyperlink ref="B32" location="'Team Scores'!A1" display="Team Scores"/>
  </hyperlinks>
  <pageMargins left="0.31" right="0.34" top="0.3" bottom="0.5" header="0.3"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33"/>
  <sheetViews>
    <sheetView showGridLines="0" showRowColHeaders="0" zoomScale="75" workbookViewId="0">
      <selection activeCell="C11" sqref="C11"/>
    </sheetView>
  </sheetViews>
  <sheetFormatPr defaultRowHeight="12.5" x14ac:dyDescent="0.25"/>
  <cols>
    <col min="1" max="1" width="2.54296875" customWidth="1"/>
    <col min="2" max="2" width="17.54296875" customWidth="1"/>
    <col min="3" max="3" width="30.54296875" bestFit="1" customWidth="1"/>
    <col min="4" max="4" width="17.54296875" customWidth="1"/>
    <col min="5" max="5" width="30.54296875" customWidth="1"/>
    <col min="6" max="6" width="8.1796875" bestFit="1" customWidth="1"/>
    <col min="7" max="7" width="10" customWidth="1"/>
  </cols>
  <sheetData>
    <row r="1" spans="1:17" ht="9" customHeight="1" x14ac:dyDescent="0.25">
      <c r="A1" s="549"/>
      <c r="B1" s="550"/>
      <c r="C1" s="550"/>
      <c r="D1" s="550"/>
      <c r="E1" s="550"/>
      <c r="F1" s="550"/>
      <c r="G1" s="550"/>
      <c r="H1" s="2"/>
      <c r="I1" s="2"/>
    </row>
    <row r="2" spans="1:17" ht="18.75" customHeight="1" x14ac:dyDescent="0.25">
      <c r="A2" s="551"/>
      <c r="B2" s="552"/>
      <c r="C2" s="552"/>
      <c r="D2" s="620" t="s">
        <v>6167</v>
      </c>
      <c r="E2" s="621"/>
      <c r="F2" s="621"/>
      <c r="G2" s="621"/>
      <c r="H2" s="621"/>
      <c r="I2" s="553"/>
      <c r="J2" s="8"/>
      <c r="K2" s="8"/>
      <c r="L2" s="8"/>
      <c r="M2" s="8"/>
    </row>
    <row r="3" spans="1:17" ht="18.75" customHeight="1" x14ac:dyDescent="0.25">
      <c r="A3" s="551"/>
      <c r="B3" s="552"/>
      <c r="C3" s="552"/>
      <c r="D3" s="621"/>
      <c r="E3" s="621"/>
      <c r="F3" s="621"/>
      <c r="G3" s="621"/>
      <c r="H3" s="621"/>
      <c r="I3" s="553"/>
      <c r="J3" s="8"/>
      <c r="K3" s="8"/>
      <c r="L3" s="8"/>
      <c r="M3" s="8"/>
    </row>
    <row r="4" spans="1:17" ht="18.75" customHeight="1" x14ac:dyDescent="0.25">
      <c r="A4" s="551"/>
      <c r="B4" s="552"/>
      <c r="C4" s="552"/>
      <c r="D4" s="621"/>
      <c r="E4" s="621"/>
      <c r="F4" s="621"/>
      <c r="G4" s="621"/>
      <c r="H4" s="621"/>
      <c r="I4" s="553"/>
      <c r="J4" s="8"/>
      <c r="K4" s="8"/>
      <c r="L4" s="8"/>
      <c r="M4" s="8"/>
    </row>
    <row r="5" spans="1:17" ht="9" customHeight="1" x14ac:dyDescent="0.25">
      <c r="A5" s="551"/>
      <c r="B5" s="552"/>
      <c r="C5" s="552"/>
      <c r="D5" s="552"/>
      <c r="E5" s="552"/>
      <c r="F5" s="552"/>
      <c r="G5" s="552"/>
      <c r="H5" s="2"/>
      <c r="I5" s="2"/>
    </row>
    <row r="6" spans="1:17" ht="24" customHeight="1" x14ac:dyDescent="0.25">
      <c r="A6" s="551"/>
      <c r="B6" s="554" t="s">
        <v>6165</v>
      </c>
      <c r="C6" s="623" t="s">
        <v>6170</v>
      </c>
      <c r="D6" s="624"/>
      <c r="E6" s="624"/>
      <c r="F6" s="555"/>
      <c r="G6" s="556"/>
      <c r="H6" s="2"/>
      <c r="I6" s="2"/>
    </row>
    <row r="7" spans="1:17" ht="24" customHeight="1" x14ac:dyDescent="0.25">
      <c r="A7" s="551"/>
      <c r="B7" s="557" t="s">
        <v>0</v>
      </c>
      <c r="C7" s="625" t="s">
        <v>6188</v>
      </c>
      <c r="D7" s="624"/>
      <c r="E7" s="624"/>
      <c r="F7" s="555"/>
      <c r="G7" s="556"/>
      <c r="H7" s="2"/>
      <c r="I7" s="2"/>
    </row>
    <row r="8" spans="1:17" ht="24" customHeight="1" x14ac:dyDescent="0.25">
      <c r="A8" s="551"/>
      <c r="B8" s="557" t="s">
        <v>1</v>
      </c>
      <c r="C8" s="625" t="s">
        <v>6169</v>
      </c>
      <c r="D8" s="624"/>
      <c r="E8" s="624"/>
      <c r="F8" s="555"/>
      <c r="G8" s="556"/>
      <c r="H8" s="2"/>
      <c r="I8" s="2"/>
    </row>
    <row r="9" spans="1:17" ht="9" customHeight="1" x14ac:dyDescent="0.25">
      <c r="A9" s="551"/>
      <c r="B9" s="552"/>
      <c r="C9" s="552"/>
      <c r="D9" s="552"/>
      <c r="E9" s="552"/>
      <c r="F9" s="558"/>
      <c r="G9" s="552"/>
      <c r="H9" s="2"/>
      <c r="I9" s="2"/>
    </row>
    <row r="10" spans="1:17" ht="30" customHeight="1" x14ac:dyDescent="0.25">
      <c r="A10" s="551"/>
      <c r="B10" s="559"/>
      <c r="C10" s="560" t="s">
        <v>2</v>
      </c>
      <c r="D10" s="561"/>
      <c r="E10" s="562" t="s">
        <v>2</v>
      </c>
      <c r="F10" s="563"/>
      <c r="G10" s="628" t="s">
        <v>3</v>
      </c>
      <c r="H10" s="628"/>
      <c r="I10" s="628"/>
    </row>
    <row r="11" spans="1:17" ht="30" customHeight="1" x14ac:dyDescent="0.25">
      <c r="A11" s="564">
        <v>1</v>
      </c>
      <c r="B11" s="565" t="s">
        <v>6</v>
      </c>
      <c r="C11" s="580" t="s">
        <v>6</v>
      </c>
      <c r="D11" s="565" t="s">
        <v>40</v>
      </c>
      <c r="E11" s="582" t="s">
        <v>40</v>
      </c>
      <c r="F11" s="566"/>
      <c r="G11" s="567"/>
      <c r="H11" s="547">
        <v>10</v>
      </c>
      <c r="I11" s="567"/>
      <c r="Q11" s="8"/>
    </row>
    <row r="12" spans="1:17" ht="30" customHeight="1" x14ac:dyDescent="0.25">
      <c r="A12" s="564">
        <v>2</v>
      </c>
      <c r="B12" s="568" t="s">
        <v>7</v>
      </c>
      <c r="C12" s="580" t="s">
        <v>7</v>
      </c>
      <c r="D12" s="568" t="s">
        <v>41</v>
      </c>
      <c r="E12" s="583" t="s">
        <v>41</v>
      </c>
      <c r="F12" s="566"/>
      <c r="G12" s="567"/>
      <c r="H12" s="567"/>
      <c r="I12" s="567"/>
      <c r="Q12" s="8"/>
    </row>
    <row r="13" spans="1:17" ht="30" customHeight="1" x14ac:dyDescent="0.25">
      <c r="A13" s="564">
        <v>3</v>
      </c>
      <c r="B13" s="568" t="s">
        <v>8</v>
      </c>
      <c r="C13" s="581" t="s">
        <v>8</v>
      </c>
      <c r="D13" s="568" t="s">
        <v>42</v>
      </c>
      <c r="E13" s="583" t="s">
        <v>42</v>
      </c>
      <c r="F13" s="566"/>
      <c r="G13" s="569"/>
      <c r="H13" s="569"/>
      <c r="I13" s="570"/>
      <c r="Q13" s="8"/>
    </row>
    <row r="14" spans="1:17" ht="30" customHeight="1" x14ac:dyDescent="0.25">
      <c r="A14" s="564">
        <v>4</v>
      </c>
      <c r="B14" s="565" t="s">
        <v>9</v>
      </c>
      <c r="C14" s="580" t="s">
        <v>9</v>
      </c>
      <c r="D14" s="565" t="s">
        <v>43</v>
      </c>
      <c r="E14" s="582" t="s">
        <v>43</v>
      </c>
      <c r="F14" s="566"/>
      <c r="G14" s="626" t="s">
        <v>6166</v>
      </c>
      <c r="H14" s="627"/>
      <c r="I14" s="627"/>
      <c r="Q14" s="8"/>
    </row>
    <row r="15" spans="1:17" ht="30" customHeight="1" x14ac:dyDescent="0.25">
      <c r="A15" s="564">
        <v>5</v>
      </c>
      <c r="B15" s="568" t="s">
        <v>10</v>
      </c>
      <c r="C15" s="580" t="s">
        <v>10</v>
      </c>
      <c r="D15" s="568" t="s">
        <v>44</v>
      </c>
      <c r="E15" s="583" t="s">
        <v>44</v>
      </c>
      <c r="F15" s="566"/>
      <c r="G15" s="571"/>
      <c r="H15" s="548">
        <v>4</v>
      </c>
      <c r="I15" s="571"/>
      <c r="Q15" s="8"/>
    </row>
    <row r="16" spans="1:17" ht="30" customHeight="1" x14ac:dyDescent="0.25">
      <c r="A16" s="564">
        <v>6</v>
      </c>
      <c r="B16" s="568" t="s">
        <v>11</v>
      </c>
      <c r="C16" s="581" t="s">
        <v>11</v>
      </c>
      <c r="D16" s="568" t="s">
        <v>45</v>
      </c>
      <c r="E16" s="583" t="s">
        <v>45</v>
      </c>
      <c r="F16" s="566"/>
      <c r="G16" s="571"/>
      <c r="H16" s="571"/>
      <c r="I16" s="571"/>
    </row>
    <row r="17" spans="1:9" ht="30" customHeight="1" x14ac:dyDescent="0.25">
      <c r="A17" s="564">
        <v>7</v>
      </c>
      <c r="B17" s="565" t="s">
        <v>12</v>
      </c>
      <c r="C17" s="580" t="s">
        <v>12</v>
      </c>
      <c r="D17" s="565" t="s">
        <v>46</v>
      </c>
      <c r="E17" s="582" t="s">
        <v>46</v>
      </c>
      <c r="F17" s="566"/>
      <c r="G17" s="572"/>
      <c r="H17" s="572"/>
      <c r="I17" s="572"/>
    </row>
    <row r="18" spans="1:9" ht="30" customHeight="1" x14ac:dyDescent="0.25">
      <c r="A18" s="564">
        <v>8</v>
      </c>
      <c r="B18" s="568" t="s">
        <v>13</v>
      </c>
      <c r="C18" s="580" t="s">
        <v>13</v>
      </c>
      <c r="D18" s="568" t="s">
        <v>47</v>
      </c>
      <c r="E18" s="583" t="s">
        <v>47</v>
      </c>
      <c r="F18" s="566"/>
      <c r="G18" s="572"/>
      <c r="H18" s="572"/>
      <c r="I18" s="572"/>
    </row>
    <row r="19" spans="1:9" ht="30" customHeight="1" x14ac:dyDescent="0.25">
      <c r="A19" s="564">
        <v>9</v>
      </c>
      <c r="B19" s="568" t="s">
        <v>14</v>
      </c>
      <c r="C19" s="581" t="s">
        <v>14</v>
      </c>
      <c r="D19" s="568" t="s">
        <v>48</v>
      </c>
      <c r="E19" s="583" t="s">
        <v>48</v>
      </c>
      <c r="F19" s="566"/>
      <c r="G19" s="572"/>
      <c r="H19" s="572"/>
      <c r="I19" s="572"/>
    </row>
    <row r="20" spans="1:9" ht="30" customHeight="1" x14ac:dyDescent="0.25">
      <c r="A20" s="564">
        <v>10</v>
      </c>
      <c r="B20" s="565" t="s">
        <v>15</v>
      </c>
      <c r="C20" s="580" t="s">
        <v>15</v>
      </c>
      <c r="D20" s="565" t="s">
        <v>49</v>
      </c>
      <c r="E20" s="582" t="s">
        <v>49</v>
      </c>
      <c r="F20" s="566"/>
      <c r="G20" s="566"/>
      <c r="H20" s="566"/>
      <c r="I20" s="552"/>
    </row>
    <row r="21" spans="1:9" ht="9" customHeight="1" x14ac:dyDescent="0.25">
      <c r="A21" s="2"/>
      <c r="B21" s="2"/>
      <c r="C21" s="2"/>
      <c r="D21" s="2"/>
      <c r="E21" s="2"/>
      <c r="F21" s="2"/>
      <c r="G21" s="2"/>
      <c r="H21" s="2"/>
      <c r="I21" s="2"/>
    </row>
    <row r="22" spans="1:9" ht="12.75" customHeight="1" x14ac:dyDescent="0.25">
      <c r="A22" s="2"/>
      <c r="B22" s="622" t="s">
        <v>6168</v>
      </c>
      <c r="C22" s="621"/>
      <c r="D22" s="621"/>
      <c r="E22" s="621"/>
      <c r="F22" s="621"/>
      <c r="G22" s="621"/>
      <c r="H22" s="621"/>
      <c r="I22" s="621"/>
    </row>
    <row r="23" spans="1:9" x14ac:dyDescent="0.25">
      <c r="A23" s="2"/>
      <c r="B23" s="621"/>
      <c r="C23" s="621"/>
      <c r="D23" s="621"/>
      <c r="E23" s="621"/>
      <c r="F23" s="621"/>
      <c r="G23" s="621"/>
      <c r="H23" s="621"/>
      <c r="I23" s="621"/>
    </row>
    <row r="24" spans="1:9" x14ac:dyDescent="0.25">
      <c r="A24" s="2"/>
      <c r="B24" s="621"/>
      <c r="C24" s="621"/>
      <c r="D24" s="621"/>
      <c r="E24" s="621"/>
      <c r="F24" s="621"/>
      <c r="G24" s="621"/>
      <c r="H24" s="621"/>
      <c r="I24" s="621"/>
    </row>
    <row r="25" spans="1:9" x14ac:dyDescent="0.25">
      <c r="A25" s="2"/>
      <c r="B25" s="621"/>
      <c r="C25" s="621"/>
      <c r="D25" s="621"/>
      <c r="E25" s="621"/>
      <c r="F25" s="621"/>
      <c r="G25" s="621"/>
      <c r="H25" s="621"/>
      <c r="I25" s="621"/>
    </row>
    <row r="26" spans="1:9" x14ac:dyDescent="0.25">
      <c r="A26" s="2"/>
      <c r="B26" s="621"/>
      <c r="C26" s="621"/>
      <c r="D26" s="621"/>
      <c r="E26" s="621"/>
      <c r="F26" s="621"/>
      <c r="G26" s="621"/>
      <c r="H26" s="621"/>
      <c r="I26" s="621"/>
    </row>
    <row r="27" spans="1:9" x14ac:dyDescent="0.25">
      <c r="A27" s="2"/>
      <c r="B27" s="621"/>
      <c r="C27" s="621"/>
      <c r="D27" s="621"/>
      <c r="E27" s="621"/>
      <c r="F27" s="621"/>
      <c r="G27" s="621"/>
      <c r="H27" s="621"/>
      <c r="I27" s="621"/>
    </row>
    <row r="28" spans="1:9" x14ac:dyDescent="0.25">
      <c r="B28" s="5"/>
      <c r="C28" s="5"/>
      <c r="D28" s="5"/>
      <c r="E28" s="5"/>
      <c r="F28" s="5"/>
      <c r="G28" s="5"/>
      <c r="H28" s="5"/>
      <c r="I28" s="5"/>
    </row>
    <row r="29" spans="1:9" x14ac:dyDescent="0.25">
      <c r="B29" s="5"/>
      <c r="C29" s="5"/>
      <c r="D29" s="5"/>
      <c r="E29" s="5"/>
      <c r="F29" s="5"/>
      <c r="G29" s="5"/>
      <c r="H29" s="5"/>
      <c r="I29" s="5"/>
    </row>
    <row r="30" spans="1:9" x14ac:dyDescent="0.25">
      <c r="B30" s="5"/>
      <c r="C30" s="5"/>
      <c r="D30" s="5"/>
      <c r="E30" s="5"/>
      <c r="F30" s="5"/>
      <c r="G30" s="5"/>
      <c r="H30" s="5"/>
      <c r="I30" s="5"/>
    </row>
    <row r="31" spans="1:9" x14ac:dyDescent="0.25">
      <c r="B31" s="5"/>
      <c r="C31" s="5"/>
      <c r="D31" s="5"/>
      <c r="E31" s="5"/>
      <c r="F31" s="5"/>
      <c r="G31" s="5"/>
      <c r="H31" s="5"/>
      <c r="I31" s="5"/>
    </row>
    <row r="32" spans="1:9" x14ac:dyDescent="0.25">
      <c r="B32" s="5"/>
      <c r="C32" s="5"/>
      <c r="D32" s="5"/>
      <c r="E32" s="5"/>
      <c r="F32" s="5"/>
      <c r="G32" s="5"/>
      <c r="H32" s="5"/>
      <c r="I32" s="5"/>
    </row>
    <row r="33" spans="2:7" x14ac:dyDescent="0.25">
      <c r="B33" s="8"/>
      <c r="C33" s="8"/>
      <c r="D33" s="8"/>
      <c r="E33" s="8"/>
      <c r="F33" s="8"/>
      <c r="G33" s="8"/>
    </row>
  </sheetData>
  <sheetProtection password="CF63" sheet="1" objects="1" selectLockedCells="1"/>
  <mergeCells count="7">
    <mergeCell ref="D2:H4"/>
    <mergeCell ref="B22:I27"/>
    <mergeCell ref="C6:E6"/>
    <mergeCell ref="C7:E7"/>
    <mergeCell ref="C8:E8"/>
    <mergeCell ref="G14:I14"/>
    <mergeCell ref="G10:I10"/>
  </mergeCells>
  <phoneticPr fontId="0" type="noConversion"/>
  <conditionalFormatting sqref="H11">
    <cfRule type="cellIs" dxfId="42" priority="31" stopIfTrue="1" operator="lessThanOrEqual">
      <formula>0</formula>
    </cfRule>
  </conditionalFormatting>
  <dataValidations count="2">
    <dataValidation type="whole" allowBlank="1" showInputMessage="1" showErrorMessage="1" errorTitle="Invalid Team Entry" error="You can not have more than 20 teams" sqref="H11">
      <formula1>1</formula1>
      <formula2>20</formula2>
    </dataValidation>
    <dataValidation type="whole" allowBlank="1" showInputMessage="1" showErrorMessage="1" error="The number of Scoring Competitors should be between 4 and 10." sqref="H15">
      <formula1>4</formula1>
      <formula2>10</formula2>
    </dataValidation>
  </dataValidations>
  <pageMargins left="0.32" right="0.31" top="0.27" bottom="0.27" header="0.22" footer="0.2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B1:AP986"/>
  <sheetViews>
    <sheetView showGridLines="0" showRowColHeaders="0" showZeros="0" zoomScaleNormal="100" workbookViewId="0">
      <pane ySplit="10" topLeftCell="A11" activePane="bottomLeft" state="frozen"/>
      <selection pane="bottomLeft" activeCell="E11" sqref="E11"/>
    </sheetView>
  </sheetViews>
  <sheetFormatPr defaultRowHeight="12.5" x14ac:dyDescent="0.25"/>
  <cols>
    <col min="1" max="1" width="1.1796875" customWidth="1"/>
    <col min="2" max="2" width="4.7265625" customWidth="1"/>
    <col min="3" max="3" width="3" style="3" customWidth="1"/>
    <col min="4" max="4" width="8" hidden="1" customWidth="1"/>
    <col min="5" max="5" width="18.7265625" customWidth="1"/>
    <col min="6" max="6" width="5.54296875" customWidth="1"/>
    <col min="7" max="7" width="5.26953125" customWidth="1"/>
    <col min="8" max="9" width="6.1796875" customWidth="1"/>
    <col min="10" max="22" width="9.26953125" customWidth="1"/>
    <col min="23" max="23" width="10.7265625" customWidth="1"/>
    <col min="24" max="35" width="9.1796875" hidden="1" customWidth="1"/>
    <col min="36" max="36" width="14.7265625" customWidth="1"/>
    <col min="37" max="37" width="2.7265625" customWidth="1"/>
    <col min="38" max="38" width="14.7265625" customWidth="1"/>
    <col min="39" max="39" width="2.7265625" customWidth="1"/>
    <col min="40" max="40" width="14.7265625" customWidth="1"/>
    <col min="41" max="41" width="2.7265625" customWidth="1"/>
    <col min="42" max="42" width="14.7265625" customWidth="1"/>
  </cols>
  <sheetData>
    <row r="1" spans="2:42" ht="6" customHeight="1" x14ac:dyDescent="0.25"/>
    <row r="2" spans="2:42" ht="18" customHeight="1" x14ac:dyDescent="0.25">
      <c r="K2" s="5"/>
      <c r="L2" s="5"/>
      <c r="M2" s="634" t="s">
        <v>6164</v>
      </c>
      <c r="N2" s="634"/>
      <c r="O2" s="634"/>
      <c r="P2" s="634"/>
      <c r="Q2" s="634"/>
      <c r="R2" s="634"/>
      <c r="S2" s="616"/>
      <c r="T2" s="616"/>
      <c r="U2" s="616"/>
      <c r="V2" s="616"/>
      <c r="W2" s="616"/>
      <c r="X2" s="616"/>
      <c r="AJ2" s="296"/>
      <c r="AK2" s="295"/>
      <c r="AL2" s="296"/>
      <c r="AM2" s="295"/>
      <c r="AN2" s="296"/>
      <c r="AO2" s="295"/>
      <c r="AP2" s="296"/>
    </row>
    <row r="3" spans="2:42" ht="18" customHeight="1" x14ac:dyDescent="0.25">
      <c r="K3" s="5"/>
      <c r="L3" s="5"/>
      <c r="M3" s="634"/>
      <c r="N3" s="634"/>
      <c r="O3" s="634"/>
      <c r="P3" s="634"/>
      <c r="Q3" s="634"/>
      <c r="R3" s="634"/>
      <c r="S3" s="616"/>
      <c r="T3" s="616"/>
      <c r="U3" s="616"/>
      <c r="V3" s="616"/>
      <c r="W3" s="616"/>
      <c r="X3" s="616"/>
      <c r="AJ3" s="296"/>
      <c r="AK3" s="295"/>
      <c r="AL3" s="296"/>
      <c r="AM3" s="295"/>
      <c r="AN3" s="296"/>
      <c r="AO3" s="295"/>
      <c r="AP3" s="296"/>
    </row>
    <row r="4" spans="2:42" ht="18" customHeight="1" x14ac:dyDescent="0.25">
      <c r="K4" s="5"/>
      <c r="L4" s="5"/>
      <c r="M4" s="616"/>
      <c r="N4" s="616"/>
      <c r="O4" s="616"/>
      <c r="P4" s="616"/>
      <c r="Q4" s="616"/>
      <c r="R4" s="616"/>
      <c r="S4" s="616"/>
      <c r="T4" s="616"/>
      <c r="U4" s="616"/>
      <c r="V4" s="616"/>
      <c r="W4" s="616"/>
      <c r="X4" s="616"/>
      <c r="AJ4" s="296"/>
      <c r="AK4" s="295"/>
      <c r="AL4" s="296"/>
      <c r="AM4" s="295"/>
      <c r="AN4" s="296"/>
      <c r="AO4" s="295"/>
      <c r="AP4" s="296"/>
    </row>
    <row r="5" spans="2:42" ht="6" customHeight="1" thickBot="1" x14ac:dyDescent="0.35">
      <c r="K5" s="5"/>
      <c r="L5" s="5"/>
      <c r="M5" s="5"/>
      <c r="N5" s="5"/>
      <c r="AJ5" s="263"/>
      <c r="AK5" s="262"/>
      <c r="AL5" s="263"/>
      <c r="AM5" s="262"/>
      <c r="AN5" s="263"/>
      <c r="AO5" s="262"/>
      <c r="AP5" s="263"/>
    </row>
    <row r="6" spans="2:42" ht="18" customHeight="1" thickBot="1" x14ac:dyDescent="0.4">
      <c r="E6" s="629" t="s">
        <v>93</v>
      </c>
      <c r="F6" s="630"/>
      <c r="G6" s="630"/>
      <c r="H6" s="630"/>
      <c r="I6" s="630"/>
      <c r="J6" s="630"/>
      <c r="K6" s="630"/>
      <c r="L6" s="630"/>
      <c r="M6" s="630"/>
      <c r="N6" s="630"/>
      <c r="O6" s="630"/>
      <c r="P6" s="632" t="s">
        <v>94</v>
      </c>
      <c r="Q6" s="632"/>
      <c r="R6" s="632"/>
      <c r="S6" s="632"/>
      <c r="T6" s="632"/>
      <c r="U6" s="632"/>
      <c r="V6" s="632"/>
      <c r="W6" s="633"/>
      <c r="AJ6" s="263"/>
      <c r="AK6" s="262"/>
      <c r="AL6" s="263"/>
      <c r="AM6" s="262"/>
      <c r="AN6" s="263"/>
      <c r="AO6" s="262"/>
      <c r="AP6" s="263"/>
    </row>
    <row r="7" spans="2:42" s="2" customFormat="1" ht="57" customHeight="1" thickBot="1" x14ac:dyDescent="0.3">
      <c r="C7" s="96"/>
      <c r="D7" s="432" t="s">
        <v>19</v>
      </c>
      <c r="E7" s="516" t="s">
        <v>6189</v>
      </c>
      <c r="F7" s="456" t="s">
        <v>50</v>
      </c>
      <c r="G7" s="456" t="s">
        <v>20</v>
      </c>
      <c r="H7" s="456" t="s">
        <v>35</v>
      </c>
      <c r="I7" s="456" t="s">
        <v>92</v>
      </c>
      <c r="J7" s="482" t="s">
        <v>21</v>
      </c>
      <c r="K7" s="483" t="s">
        <v>22</v>
      </c>
      <c r="L7" s="483" t="s">
        <v>23</v>
      </c>
      <c r="M7" s="483" t="s">
        <v>24</v>
      </c>
      <c r="N7" s="483" t="s">
        <v>25</v>
      </c>
      <c r="O7" s="484" t="s">
        <v>26</v>
      </c>
      <c r="P7" s="517" t="s">
        <v>21</v>
      </c>
      <c r="Q7" s="518" t="s">
        <v>22</v>
      </c>
      <c r="R7" s="518" t="s">
        <v>23</v>
      </c>
      <c r="S7" s="518" t="s">
        <v>24</v>
      </c>
      <c r="T7" s="518" t="s">
        <v>25</v>
      </c>
      <c r="U7" s="518" t="s">
        <v>26</v>
      </c>
      <c r="V7" s="518" t="s">
        <v>91</v>
      </c>
      <c r="W7" s="519" t="s">
        <v>129</v>
      </c>
      <c r="X7" s="433" t="s">
        <v>21</v>
      </c>
      <c r="Y7" s="20" t="s">
        <v>22</v>
      </c>
      <c r="Z7" s="20" t="s">
        <v>23</v>
      </c>
      <c r="AA7" s="20" t="s">
        <v>24</v>
      </c>
      <c r="AB7" s="20" t="s">
        <v>25</v>
      </c>
      <c r="AC7" s="20" t="s">
        <v>26</v>
      </c>
      <c r="AD7" s="290" t="s">
        <v>30</v>
      </c>
      <c r="AE7" s="290"/>
      <c r="AF7" s="290"/>
      <c r="AG7" s="291"/>
    </row>
    <row r="8" spans="2:42" s="2" customFormat="1" ht="18.75" hidden="1" customHeight="1" thickBot="1" x14ac:dyDescent="0.3">
      <c r="C8" s="96"/>
      <c r="D8" s="321"/>
      <c r="E8" s="322"/>
      <c r="F8" s="321"/>
      <c r="G8" s="321"/>
      <c r="H8" s="321" t="s">
        <v>4</v>
      </c>
      <c r="I8" s="321"/>
      <c r="J8" s="323"/>
      <c r="K8" s="321"/>
      <c r="L8" s="321"/>
      <c r="M8" s="321"/>
      <c r="N8" s="321"/>
      <c r="O8" s="321"/>
      <c r="P8" s="508"/>
      <c r="Q8" s="290"/>
      <c r="R8" s="290"/>
      <c r="S8" s="290"/>
      <c r="T8" s="290"/>
      <c r="U8" s="290"/>
      <c r="V8" s="290"/>
      <c r="W8" s="290"/>
      <c r="X8" s="324"/>
      <c r="Y8" s="290"/>
      <c r="Z8" s="290"/>
      <c r="AA8" s="290"/>
      <c r="AB8" s="290"/>
      <c r="AC8" s="290"/>
      <c r="AD8" s="290"/>
      <c r="AE8" s="290"/>
      <c r="AF8" s="290"/>
      <c r="AG8" s="291"/>
    </row>
    <row r="9" spans="2:42" s="2" customFormat="1" ht="18.75" hidden="1" customHeight="1" thickBot="1" x14ac:dyDescent="0.3">
      <c r="C9" s="96"/>
      <c r="D9" s="321"/>
      <c r="E9" s="322"/>
      <c r="F9" s="321"/>
      <c r="G9" s="321"/>
      <c r="H9" s="321" t="s">
        <v>5</v>
      </c>
      <c r="I9" s="321"/>
      <c r="J9" s="323"/>
      <c r="K9" s="321"/>
      <c r="L9" s="321"/>
      <c r="M9" s="321"/>
      <c r="N9" s="321"/>
      <c r="O9" s="321"/>
      <c r="P9" s="508"/>
      <c r="Q9" s="290"/>
      <c r="R9" s="290"/>
      <c r="S9" s="290"/>
      <c r="T9" s="290"/>
      <c r="U9" s="290"/>
      <c r="V9" s="290"/>
      <c r="W9" s="290"/>
      <c r="X9" s="324"/>
      <c r="Y9" s="290"/>
      <c r="Z9" s="290"/>
      <c r="AA9" s="290"/>
      <c r="AB9" s="290"/>
      <c r="AC9" s="290"/>
      <c r="AD9" s="290"/>
      <c r="AE9" s="290"/>
      <c r="AF9" s="290"/>
      <c r="AG9" s="291"/>
    </row>
    <row r="10" spans="2:42" s="2" customFormat="1" ht="18.75" customHeight="1" thickBot="1" x14ac:dyDescent="0.35">
      <c r="C10" s="96"/>
      <c r="D10" s="321"/>
      <c r="E10" s="635" t="s">
        <v>6186</v>
      </c>
      <c r="F10" s="636"/>
      <c r="G10" s="636"/>
      <c r="H10" s="636"/>
      <c r="I10" s="636"/>
      <c r="J10" s="584">
        <v>1.42</v>
      </c>
      <c r="K10" s="585">
        <v>32</v>
      </c>
      <c r="L10" s="585">
        <v>12</v>
      </c>
      <c r="M10" s="585">
        <v>15.6</v>
      </c>
      <c r="N10" s="585">
        <v>4.25</v>
      </c>
      <c r="O10" s="585">
        <v>13</v>
      </c>
      <c r="P10" s="508"/>
      <c r="Q10" s="290"/>
      <c r="R10" s="290"/>
      <c r="S10" s="290"/>
      <c r="T10" s="290"/>
      <c r="U10" s="290"/>
      <c r="V10" s="290"/>
      <c r="W10" s="290"/>
      <c r="X10" s="324"/>
      <c r="Y10" s="290"/>
      <c r="Z10" s="290"/>
      <c r="AA10" s="290"/>
      <c r="AB10" s="290"/>
      <c r="AC10" s="290"/>
      <c r="AD10" s="290"/>
      <c r="AE10" s="290"/>
      <c r="AF10" s="290"/>
      <c r="AG10" s="291"/>
    </row>
    <row r="11" spans="2:42" ht="15" thickBot="1" x14ac:dyDescent="0.4">
      <c r="B11" s="631" t="str">
        <f>'Competition Menu'!C11</f>
        <v>Team 1</v>
      </c>
      <c r="C11" s="520">
        <v>1</v>
      </c>
      <c r="D11" s="287">
        <v>1</v>
      </c>
      <c r="E11" s="356"/>
      <c r="F11" s="357"/>
      <c r="G11" s="358"/>
      <c r="H11" s="358"/>
      <c r="I11" s="358"/>
      <c r="J11" s="359"/>
      <c r="K11" s="360"/>
      <c r="L11" s="360"/>
      <c r="M11" s="360"/>
      <c r="N11" s="360"/>
      <c r="O11" s="485"/>
      <c r="P11" s="513">
        <f t="shared" ref="P11:U11" si="0">IF(X11=0,0,X11)</f>
        <v>0</v>
      </c>
      <c r="Q11" s="453">
        <f t="shared" si="0"/>
        <v>0</v>
      </c>
      <c r="R11" s="453">
        <f t="shared" si="0"/>
        <v>0</v>
      </c>
      <c r="S11" s="453">
        <f t="shared" si="0"/>
        <v>0</v>
      </c>
      <c r="T11" s="453">
        <f t="shared" si="0"/>
        <v>0</v>
      </c>
      <c r="U11" s="453">
        <f t="shared" si="0"/>
        <v>0</v>
      </c>
      <c r="V11" s="453">
        <f>IF(AD11=0,0,AD11)</f>
        <v>0</v>
      </c>
      <c r="W11" s="454">
        <f>IF(AF11=0,0,AF11)</f>
        <v>0</v>
      </c>
      <c r="X11">
        <f>IF(ISNA(VLOOKUP((CONCATENATE("Standing Long Jump-",I11,"-",Input!J11)),points11,2,)),0,VLOOKUP((CONCATENATE("Standing Long Jump-",I11,"-",Input!J11)),points11,2,))</f>
        <v>0</v>
      </c>
      <c r="Y11">
        <f>IF(ISNA(VLOOKUP((CONCATENATE("Speed Bounce-",I11,"-",Input!K11)),points11,2,)),0,VLOOKUP((CONCATENATE("Speed Bounce-",I11,"-",Input!K11)),points11,2,))</f>
        <v>0</v>
      </c>
      <c r="Z11">
        <f>IF(ISNA(VLOOKUP((CONCATENATE("Target Throw-",I11,"-",Input!L11)),points11,2,)),0,VLOOKUP((CONCATENATE("Target Throw-",I11,"-",Input!L11)),points11,2,))</f>
        <v>0</v>
      </c>
      <c r="AA11">
        <f>IF(ISNA(VLOOKUP((CONCATENATE("Hi-Stepper-",I11,"-",Input!M11)),points11,2,)),0,VLOOKUP((CONCATENATE("Hi-Stepper-",I11,"-",Input!M11)),points11,2,))</f>
        <v>0</v>
      </c>
      <c r="AB11">
        <f>IF(ISNA(VLOOKUP((CONCATENATE("Chest Push-",I11,"-",Input!N11)),points11,2,)),0,VLOOKUP((CONCATENATE("Chest Push-",I11,"-",Input!N11)),points11,2,))</f>
        <v>0</v>
      </c>
      <c r="AC11">
        <f>IF(ISNA(VLOOKUP((CONCATENATE("Javelin Throw-",I11,"-",Input!O11)),points11,2,)),0,VLOOKUP((CONCATENATE("Javelin Throw-",I11,"-",Input!O11)),points11,2,))</f>
        <v>0</v>
      </c>
      <c r="AD11">
        <f>IF(I11&lt;3,SUM(Y11:AC11),IF(I11&gt;2,LARGE(X11:AC11,1)+LARGE(X11:AC11,2)+LARGE(X11:AC11,3)+LARGE(X11:AC11,4)+LARGE(X11:AC11,5)," "))</f>
        <v>0</v>
      </c>
      <c r="AE11" t="str">
        <f>IF(F11=0," ",IF(F11&lt;7,"P",IF(F11&gt;6,"S"," ")))</f>
        <v xml:space="preserve"> </v>
      </c>
      <c r="AF11">
        <f t="shared" ref="AF11:AF74" si="1">IF(ISNA(VLOOKUP((CONCATENATE(AE11,"-",H11,"-",AD11)),award11,2,)),0,VLOOKUP((CONCATENATE(AE11,"-",H11,"-",AD11)),award11,2,))</f>
        <v>0</v>
      </c>
      <c r="AG11">
        <v>1.5</v>
      </c>
    </row>
    <row r="12" spans="2:42" ht="15" thickBot="1" x14ac:dyDescent="0.4">
      <c r="B12" s="631"/>
      <c r="C12" s="520">
        <v>2</v>
      </c>
      <c r="D12" s="287">
        <v>1</v>
      </c>
      <c r="E12" s="361"/>
      <c r="F12" s="362"/>
      <c r="G12" s="363"/>
      <c r="H12" s="364"/>
      <c r="I12" s="364"/>
      <c r="J12" s="365"/>
      <c r="K12" s="366"/>
      <c r="L12" s="366"/>
      <c r="M12" s="366"/>
      <c r="N12" s="367"/>
      <c r="O12" s="486"/>
      <c r="P12" s="509">
        <f t="shared" ref="P12:P70" si="2">IF(X12=0,0,X12)</f>
        <v>0</v>
      </c>
      <c r="Q12" s="445">
        <f t="shared" ref="Q12:Q70" si="3">IF(Y12=0,0,Y12)</f>
        <v>0</v>
      </c>
      <c r="R12" s="445">
        <f t="shared" ref="R12:R70" si="4">IF(Z12=0,0,Z12)</f>
        <v>0</v>
      </c>
      <c r="S12" s="445">
        <f t="shared" ref="S12:S70" si="5">IF(AA12=0,0,AA12)</f>
        <v>0</v>
      </c>
      <c r="T12" s="445">
        <f t="shared" ref="T12:T70" si="6">IF(AB12=0,0,AB12)</f>
        <v>0</v>
      </c>
      <c r="U12" s="445">
        <f t="shared" ref="U12:U70" si="7">IF(AC12=0,0,AC12)</f>
        <v>0</v>
      </c>
      <c r="V12" s="445">
        <f t="shared" ref="V12:V70" si="8">IF(AD12=0,0,AD12)</f>
        <v>0</v>
      </c>
      <c r="W12" s="446">
        <f t="shared" ref="W12:W70" si="9">IF(AF12=0,0,AF12)</f>
        <v>0</v>
      </c>
      <c r="X12">
        <f>IF(ISNA(VLOOKUP((CONCATENATE("Standing Long Jump-",I12,"-",Input!J12)),points11,2,)),0,VLOOKUP((CONCATENATE("Standing Long Jump-",I12,"-",Input!J12)),points11,2,))</f>
        <v>0</v>
      </c>
      <c r="Y12">
        <f>IF(ISNA(VLOOKUP((CONCATENATE("Speed Bounce-",I12,"-",Input!K12)),points11,2,)),0,VLOOKUP((CONCATENATE("Speed Bounce-",I12,"-",Input!K12)),points11,2,))</f>
        <v>0</v>
      </c>
      <c r="Z12">
        <f>IF(ISNA(VLOOKUP((CONCATENATE("Target Throw-",I12,"-",Input!L12)),points11,2,)),0,VLOOKUP((CONCATENATE("Target Throw-",I12,"-",Input!L12)),points11,2,))</f>
        <v>0</v>
      </c>
      <c r="AA12">
        <f>IF(ISNA(VLOOKUP((CONCATENATE("Hi-Stepper-",I12,"-",Input!M12)),points11,2,)),0,VLOOKUP((CONCATENATE("Hi-Stepper-",I12,"-",Input!M12)),points11,2,))</f>
        <v>0</v>
      </c>
      <c r="AB12">
        <f>IF(ISNA(VLOOKUP((CONCATENATE("Chest Push-",I12,"-",Input!N12)),points11,2,)),0,VLOOKUP((CONCATENATE("Chest Push-",I12,"-",Input!N12)),points11,2,))</f>
        <v>0</v>
      </c>
      <c r="AC12">
        <f>IF(ISNA(VLOOKUP((CONCATENATE("Javelin Throw-",I12,"-",Input!O12)),points11,2,)),0,VLOOKUP((CONCATENATE("Javelin Throw-",I12,"-",Input!O12)),points11,2,))</f>
        <v>0</v>
      </c>
      <c r="AD12">
        <f t="shared" ref="AD12:AD70" si="10">IF(I12&lt;3,SUM(Y12:AC12),IF(I12&gt;2,LARGE(X12:AC12,1)+LARGE(X12:AC12,2)+LARGE(X12:AC12,3)+LARGE(X12:AC12,4)+LARGE(X12:AC12,5)," "))</f>
        <v>0</v>
      </c>
      <c r="AE12" t="str">
        <f t="shared" ref="AE12:AE70" si="11">IF(F12=0," ",IF(F12&lt;7,"P",IF(F12&gt;6,"S"," ")))</f>
        <v xml:space="preserve"> </v>
      </c>
      <c r="AF12">
        <f t="shared" si="1"/>
        <v>0</v>
      </c>
      <c r="AG12">
        <v>1.4</v>
      </c>
      <c r="AH12" t="s">
        <v>5</v>
      </c>
      <c r="AI12">
        <v>3</v>
      </c>
    </row>
    <row r="13" spans="2:42" ht="15" thickBot="1" x14ac:dyDescent="0.4">
      <c r="B13" s="631"/>
      <c r="C13" s="520">
        <v>3</v>
      </c>
      <c r="D13" s="287">
        <v>1</v>
      </c>
      <c r="E13" s="368"/>
      <c r="F13" s="362"/>
      <c r="G13" s="363"/>
      <c r="H13" s="363"/>
      <c r="I13" s="363"/>
      <c r="J13" s="365"/>
      <c r="K13" s="366"/>
      <c r="L13" s="366"/>
      <c r="M13" s="366"/>
      <c r="N13" s="367"/>
      <c r="O13" s="486"/>
      <c r="P13" s="509">
        <f t="shared" si="2"/>
        <v>0</v>
      </c>
      <c r="Q13" s="445">
        <f t="shared" si="3"/>
        <v>0</v>
      </c>
      <c r="R13" s="445">
        <f t="shared" si="4"/>
        <v>0</v>
      </c>
      <c r="S13" s="445">
        <f t="shared" si="5"/>
        <v>0</v>
      </c>
      <c r="T13" s="445">
        <f t="shared" si="6"/>
        <v>0</v>
      </c>
      <c r="U13" s="445">
        <f t="shared" si="7"/>
        <v>0</v>
      </c>
      <c r="V13" s="445">
        <f t="shared" si="8"/>
        <v>0</v>
      </c>
      <c r="W13" s="446">
        <f t="shared" si="9"/>
        <v>0</v>
      </c>
      <c r="X13">
        <f>IF(ISNA(VLOOKUP((CONCATENATE("Standing Long Jump-",I13,"-",Input!J13)),points11,2,)),0,VLOOKUP((CONCATENATE("Standing Long Jump-",I13,"-",Input!J13)),points11,2,))</f>
        <v>0</v>
      </c>
      <c r="Y13">
        <f>IF(ISNA(VLOOKUP((CONCATENATE("Speed Bounce-",I13,"-",Input!K13)),points11,2,)),0,VLOOKUP((CONCATENATE("Speed Bounce-",I13,"-",Input!K13)),points11,2,))</f>
        <v>0</v>
      </c>
      <c r="Z13">
        <f>IF(ISNA(VLOOKUP((CONCATENATE("Target Throw-",I13,"-",Input!L13)),points11,2,)),0,VLOOKUP((CONCATENATE("Target Throw-",I13,"-",Input!L13)),points11,2,))</f>
        <v>0</v>
      </c>
      <c r="AA13">
        <f>IF(ISNA(VLOOKUP((CONCATENATE("Hi-Stepper-",I13,"-",Input!M13)),points11,2,)),0,VLOOKUP((CONCATENATE("Hi-Stepper-",I13,"-",Input!M13)),points11,2,))</f>
        <v>0</v>
      </c>
      <c r="AB13">
        <f>IF(ISNA(VLOOKUP((CONCATENATE("Chest Push-",I13,"-",Input!N13)),points11,2,)),0,VLOOKUP((CONCATENATE("Chest Push-",I13,"-",Input!N13)),points11,2,))</f>
        <v>0</v>
      </c>
      <c r="AC13">
        <f>IF(ISNA(VLOOKUP((CONCATENATE("Javelin Throw-",I13,"-",Input!O13)),points11,2,)),0,VLOOKUP((CONCATENATE("Javelin Throw-",I13,"-",Input!O13)),points11,2,))</f>
        <v>0</v>
      </c>
      <c r="AD13">
        <f t="shared" si="10"/>
        <v>0</v>
      </c>
      <c r="AE13" t="str">
        <f t="shared" si="11"/>
        <v xml:space="preserve"> </v>
      </c>
      <c r="AF13">
        <f t="shared" si="1"/>
        <v>0</v>
      </c>
      <c r="AG13">
        <v>1.2</v>
      </c>
      <c r="AH13" t="s">
        <v>4</v>
      </c>
      <c r="AI13">
        <v>4</v>
      </c>
    </row>
    <row r="14" spans="2:42" ht="15" thickBot="1" x14ac:dyDescent="0.4">
      <c r="B14" s="631"/>
      <c r="C14" s="520">
        <v>4</v>
      </c>
      <c r="D14" s="287">
        <v>1</v>
      </c>
      <c r="E14" s="369"/>
      <c r="F14" s="362"/>
      <c r="G14" s="363"/>
      <c r="H14" s="363"/>
      <c r="I14" s="363"/>
      <c r="J14" s="370"/>
      <c r="K14" s="367"/>
      <c r="L14" s="367"/>
      <c r="M14" s="367"/>
      <c r="N14" s="367"/>
      <c r="O14" s="486"/>
      <c r="P14" s="509">
        <f t="shared" si="2"/>
        <v>0</v>
      </c>
      <c r="Q14" s="445">
        <f t="shared" si="3"/>
        <v>0</v>
      </c>
      <c r="R14" s="445">
        <f t="shared" si="4"/>
        <v>0</v>
      </c>
      <c r="S14" s="445">
        <f t="shared" si="5"/>
        <v>0</v>
      </c>
      <c r="T14" s="445">
        <f t="shared" si="6"/>
        <v>0</v>
      </c>
      <c r="U14" s="445">
        <f t="shared" si="7"/>
        <v>0</v>
      </c>
      <c r="V14" s="445">
        <f t="shared" si="8"/>
        <v>0</v>
      </c>
      <c r="W14" s="446">
        <f t="shared" si="9"/>
        <v>0</v>
      </c>
      <c r="X14">
        <f>IF(ISNA(VLOOKUP((CONCATENATE("Standing Long Jump-",I14,"-",Input!J14)),points11,2,)),0,VLOOKUP((CONCATENATE("Standing Long Jump-",I14,"-",Input!J14)),points11,2,))</f>
        <v>0</v>
      </c>
      <c r="Y14">
        <f>IF(ISNA(VLOOKUP((CONCATENATE("Speed Bounce-",I14,"-",Input!K14)),points11,2,)),0,VLOOKUP((CONCATENATE("Speed Bounce-",I14,"-",Input!K14)),points11,2,))</f>
        <v>0</v>
      </c>
      <c r="Z14">
        <f>IF(ISNA(VLOOKUP((CONCATENATE("Target Throw-",I14,"-",Input!L14)),points11,2,)),0,VLOOKUP((CONCATENATE("Target Throw-",I14,"-",Input!L14)),points11,2,))</f>
        <v>0</v>
      </c>
      <c r="AA14">
        <f>IF(ISNA(VLOOKUP((CONCATENATE("Hi-Stepper-",I14,"-",Input!M14)),points11,2,)),0,VLOOKUP((CONCATENATE("Hi-Stepper-",I14,"-",Input!M14)),points11,2,))</f>
        <v>0</v>
      </c>
      <c r="AB14">
        <f>IF(ISNA(VLOOKUP((CONCATENATE("Chest Push-",I14,"-",Input!N14)),points11,2,)),0,VLOOKUP((CONCATENATE("Chest Push-",I14,"-",Input!N14)),points11,2,))</f>
        <v>0</v>
      </c>
      <c r="AC14">
        <f>IF(ISNA(VLOOKUP((CONCATENATE("Javelin Throw-",I14,"-",Input!O14)),points11,2,)),0,VLOOKUP((CONCATENATE("Javelin Throw-",I14,"-",Input!O14)),points11,2,))</f>
        <v>0</v>
      </c>
      <c r="AD14">
        <f t="shared" si="10"/>
        <v>0</v>
      </c>
      <c r="AE14" t="str">
        <f t="shared" si="11"/>
        <v xml:space="preserve"> </v>
      </c>
      <c r="AF14">
        <f t="shared" si="1"/>
        <v>0</v>
      </c>
      <c r="AG14">
        <v>1.1000000000000001</v>
      </c>
      <c r="AI14">
        <v>5</v>
      </c>
    </row>
    <row r="15" spans="2:42" ht="15" thickBot="1" x14ac:dyDescent="0.4">
      <c r="B15" s="631"/>
      <c r="C15" s="520">
        <v>5</v>
      </c>
      <c r="D15" s="287">
        <v>1</v>
      </c>
      <c r="E15" s="368"/>
      <c r="F15" s="362"/>
      <c r="G15" s="363"/>
      <c r="H15" s="363"/>
      <c r="I15" s="363"/>
      <c r="J15" s="365"/>
      <c r="K15" s="366"/>
      <c r="L15" s="366"/>
      <c r="M15" s="366"/>
      <c r="N15" s="367"/>
      <c r="O15" s="486"/>
      <c r="P15" s="509">
        <f t="shared" si="2"/>
        <v>0</v>
      </c>
      <c r="Q15" s="445">
        <f t="shared" si="3"/>
        <v>0</v>
      </c>
      <c r="R15" s="445">
        <f t="shared" si="4"/>
        <v>0</v>
      </c>
      <c r="S15" s="445">
        <f t="shared" si="5"/>
        <v>0</v>
      </c>
      <c r="T15" s="445">
        <f t="shared" si="6"/>
        <v>0</v>
      </c>
      <c r="U15" s="445">
        <f t="shared" si="7"/>
        <v>0</v>
      </c>
      <c r="V15" s="445">
        <f t="shared" si="8"/>
        <v>0</v>
      </c>
      <c r="W15" s="446">
        <f t="shared" si="9"/>
        <v>0</v>
      </c>
      <c r="X15">
        <f>IF(ISNA(VLOOKUP((CONCATENATE("Standing Long Jump-",I15,"-",Input!J15)),points11,2,)),0,VLOOKUP((CONCATENATE("Standing Long Jump-",I15,"-",Input!J15)),points11,2,))</f>
        <v>0</v>
      </c>
      <c r="Y15">
        <f>IF(ISNA(VLOOKUP((CONCATENATE("Speed Bounce-",I15,"-",Input!K15)),points11,2,)),0,VLOOKUP((CONCATENATE("Speed Bounce-",I15,"-",Input!K15)),points11,2,))</f>
        <v>0</v>
      </c>
      <c r="Z15">
        <f>IF(ISNA(VLOOKUP((CONCATENATE("Target Throw-",I15,"-",Input!L15)),points11,2,)),0,VLOOKUP((CONCATENATE("Target Throw-",I15,"-",Input!L15)),points11,2,))</f>
        <v>0</v>
      </c>
      <c r="AA15">
        <f>IF(ISNA(VLOOKUP((CONCATENATE("Hi-Stepper-",I15,"-",Input!M15)),points11,2,)),0,VLOOKUP((CONCATENATE("Hi-Stepper-",I15,"-",Input!M15)),points11,2,))</f>
        <v>0</v>
      </c>
      <c r="AB15">
        <f>IF(ISNA(VLOOKUP((CONCATENATE("Chest Push-",I15,"-",Input!N15)),points11,2,)),0,VLOOKUP((CONCATENATE("Chest Push-",I15,"-",Input!N15)),points11,2,))</f>
        <v>0</v>
      </c>
      <c r="AC15">
        <f>IF(ISNA(VLOOKUP((CONCATENATE("Javelin Throw-",I15,"-",Input!O15)),points11,2,)),0,VLOOKUP((CONCATENATE("Javelin Throw-",I15,"-",Input!O15)),points11,2,))</f>
        <v>0</v>
      </c>
      <c r="AD15">
        <f t="shared" si="10"/>
        <v>0</v>
      </c>
      <c r="AE15" t="str">
        <f t="shared" si="11"/>
        <v xml:space="preserve"> </v>
      </c>
      <c r="AF15">
        <f t="shared" si="1"/>
        <v>0</v>
      </c>
      <c r="AI15">
        <v>6</v>
      </c>
    </row>
    <row r="16" spans="2:42" ht="15" thickBot="1" x14ac:dyDescent="0.4">
      <c r="B16" s="631"/>
      <c r="C16" s="520">
        <v>6</v>
      </c>
      <c r="D16" s="287">
        <v>1</v>
      </c>
      <c r="E16" s="371"/>
      <c r="F16" s="362"/>
      <c r="G16" s="372"/>
      <c r="H16" s="372"/>
      <c r="I16" s="372"/>
      <c r="J16" s="373"/>
      <c r="K16" s="374"/>
      <c r="L16" s="374"/>
      <c r="M16" s="374"/>
      <c r="N16" s="375"/>
      <c r="O16" s="487"/>
      <c r="P16" s="509">
        <f t="shared" si="2"/>
        <v>0</v>
      </c>
      <c r="Q16" s="445">
        <f t="shared" si="3"/>
        <v>0</v>
      </c>
      <c r="R16" s="445">
        <f t="shared" si="4"/>
        <v>0</v>
      </c>
      <c r="S16" s="445">
        <f t="shared" si="5"/>
        <v>0</v>
      </c>
      <c r="T16" s="445">
        <f t="shared" si="6"/>
        <v>0</v>
      </c>
      <c r="U16" s="445">
        <f t="shared" si="7"/>
        <v>0</v>
      </c>
      <c r="V16" s="445">
        <f t="shared" si="8"/>
        <v>0</v>
      </c>
      <c r="W16" s="446">
        <f t="shared" si="9"/>
        <v>0</v>
      </c>
      <c r="X16">
        <f>IF(ISNA(VLOOKUP((CONCATENATE("Standing Long Jump-",I16,"-",Input!J16)),points11,2,)),0,VLOOKUP((CONCATENATE("Standing Long Jump-",I16,"-",Input!J16)),points11,2,))</f>
        <v>0</v>
      </c>
      <c r="Y16">
        <f>IF(ISNA(VLOOKUP((CONCATENATE("Speed Bounce-",I16,"-",Input!K16)),points11,2,)),0,VLOOKUP((CONCATENATE("Speed Bounce-",I16,"-",Input!K16)),points11,2,))</f>
        <v>0</v>
      </c>
      <c r="Z16">
        <f>IF(ISNA(VLOOKUP((CONCATENATE("Target Throw-",I16,"-",Input!L16)),points11,2,)),0,VLOOKUP((CONCATENATE("Target Throw-",I16,"-",Input!L16)),points11,2,))</f>
        <v>0</v>
      </c>
      <c r="AA16">
        <f>IF(ISNA(VLOOKUP((CONCATENATE("Hi-Stepper-",I16,"-",Input!M16)),points11,2,)),0,VLOOKUP((CONCATENATE("Hi-Stepper-",I16,"-",Input!M16)),points11,2,))</f>
        <v>0</v>
      </c>
      <c r="AB16">
        <f>IF(ISNA(VLOOKUP((CONCATENATE("Chest Push-",I16,"-",Input!N16)),points11,2,)),0,VLOOKUP((CONCATENATE("Chest Push-",I16,"-",Input!N16)),points11,2,))</f>
        <v>0</v>
      </c>
      <c r="AC16">
        <f>IF(ISNA(VLOOKUP((CONCATENATE("Javelin Throw-",I16,"-",Input!O16)),points11,2,)),0,VLOOKUP((CONCATENATE("Javelin Throw-",I16,"-",Input!O16)),points11,2,))</f>
        <v>0</v>
      </c>
      <c r="AD16">
        <f t="shared" si="10"/>
        <v>0</v>
      </c>
      <c r="AE16" t="str">
        <f t="shared" si="11"/>
        <v xml:space="preserve"> </v>
      </c>
      <c r="AF16">
        <f t="shared" si="1"/>
        <v>0</v>
      </c>
      <c r="AI16">
        <v>7</v>
      </c>
    </row>
    <row r="17" spans="2:35" ht="15" thickBot="1" x14ac:dyDescent="0.4">
      <c r="B17" s="631"/>
      <c r="C17" s="520">
        <v>7</v>
      </c>
      <c r="D17" s="287">
        <v>1</v>
      </c>
      <c r="E17" s="371"/>
      <c r="F17" s="362"/>
      <c r="G17" s="372"/>
      <c r="H17" s="372"/>
      <c r="I17" s="372"/>
      <c r="J17" s="373"/>
      <c r="K17" s="374"/>
      <c r="L17" s="374"/>
      <c r="M17" s="374"/>
      <c r="N17" s="375"/>
      <c r="O17" s="487"/>
      <c r="P17" s="509">
        <f t="shared" si="2"/>
        <v>0</v>
      </c>
      <c r="Q17" s="445">
        <f t="shared" si="3"/>
        <v>0</v>
      </c>
      <c r="R17" s="445">
        <f t="shared" si="4"/>
        <v>0</v>
      </c>
      <c r="S17" s="445">
        <f t="shared" si="5"/>
        <v>0</v>
      </c>
      <c r="T17" s="445">
        <f t="shared" si="6"/>
        <v>0</v>
      </c>
      <c r="U17" s="445">
        <f t="shared" si="7"/>
        <v>0</v>
      </c>
      <c r="V17" s="445">
        <f t="shared" si="8"/>
        <v>0</v>
      </c>
      <c r="W17" s="446">
        <f t="shared" si="9"/>
        <v>0</v>
      </c>
      <c r="X17">
        <f>IF(ISNA(VLOOKUP((CONCATENATE("Standing Long Jump-",I17,"-",Input!J17)),points11,2,)),0,VLOOKUP((CONCATENATE("Standing Long Jump-",I17,"-",Input!J17)),points11,2,))</f>
        <v>0</v>
      </c>
      <c r="Y17">
        <f>IF(ISNA(VLOOKUP((CONCATENATE("Speed Bounce-",I17,"-",Input!K17)),points11,2,)),0,VLOOKUP((CONCATENATE("Speed Bounce-",I17,"-",Input!K17)),points11,2,))</f>
        <v>0</v>
      </c>
      <c r="Z17">
        <f>IF(ISNA(VLOOKUP((CONCATENATE("Target Throw-",I17,"-",Input!L17)),points11,2,)),0,VLOOKUP((CONCATENATE("Target Throw-",I17,"-",Input!L17)),points11,2,))</f>
        <v>0</v>
      </c>
      <c r="AA17">
        <f>IF(ISNA(VLOOKUP((CONCATENATE("Hi-Stepper-",I17,"-",Input!M17)),points11,2,)),0,VLOOKUP((CONCATENATE("Hi-Stepper-",I17,"-",Input!M17)),points11,2,))</f>
        <v>0</v>
      </c>
      <c r="AB17">
        <f>IF(ISNA(VLOOKUP((CONCATENATE("Chest Push-",I17,"-",Input!N17)),points11,2,)),0,VLOOKUP((CONCATENATE("Chest Push-",I17,"-",Input!N17)),points11,2,))</f>
        <v>0</v>
      </c>
      <c r="AC17">
        <f>IF(ISNA(VLOOKUP((CONCATENATE("Javelin Throw-",I17,"-",Input!O17)),points11,2,)),0,VLOOKUP((CONCATENATE("Javelin Throw-",I17,"-",Input!O17)),points11,2,))</f>
        <v>0</v>
      </c>
      <c r="AD17">
        <f t="shared" si="10"/>
        <v>0</v>
      </c>
      <c r="AE17" t="str">
        <f t="shared" si="11"/>
        <v xml:space="preserve"> </v>
      </c>
      <c r="AF17">
        <f t="shared" si="1"/>
        <v>0</v>
      </c>
      <c r="AI17">
        <v>8</v>
      </c>
    </row>
    <row r="18" spans="2:35" ht="15" thickBot="1" x14ac:dyDescent="0.4">
      <c r="B18" s="631"/>
      <c r="C18" s="520">
        <v>8</v>
      </c>
      <c r="D18" s="287">
        <v>1</v>
      </c>
      <c r="E18" s="371"/>
      <c r="F18" s="362"/>
      <c r="G18" s="372"/>
      <c r="H18" s="372"/>
      <c r="I18" s="372"/>
      <c r="J18" s="373"/>
      <c r="K18" s="374"/>
      <c r="L18" s="374"/>
      <c r="M18" s="374"/>
      <c r="N18" s="375"/>
      <c r="O18" s="487"/>
      <c r="P18" s="509">
        <f t="shared" si="2"/>
        <v>0</v>
      </c>
      <c r="Q18" s="445">
        <f t="shared" si="3"/>
        <v>0</v>
      </c>
      <c r="R18" s="445">
        <f t="shared" si="4"/>
        <v>0</v>
      </c>
      <c r="S18" s="445">
        <f t="shared" si="5"/>
        <v>0</v>
      </c>
      <c r="T18" s="445">
        <f t="shared" si="6"/>
        <v>0</v>
      </c>
      <c r="U18" s="445">
        <f t="shared" si="7"/>
        <v>0</v>
      </c>
      <c r="V18" s="445">
        <f t="shared" si="8"/>
        <v>0</v>
      </c>
      <c r="W18" s="446">
        <f t="shared" si="9"/>
        <v>0</v>
      </c>
      <c r="X18">
        <f>IF(ISNA(VLOOKUP((CONCATENATE("Standing Long Jump-",I18,"-",Input!J18)),points11,2,)),0,VLOOKUP((CONCATENATE("Standing Long Jump-",I18,"-",Input!J18)),points11,2,))</f>
        <v>0</v>
      </c>
      <c r="Y18">
        <f>IF(ISNA(VLOOKUP((CONCATENATE("Speed Bounce-",I18,"-",Input!K18)),points11,2,)),0,VLOOKUP((CONCATENATE("Speed Bounce-",I18,"-",Input!K18)),points11,2,))</f>
        <v>0</v>
      </c>
      <c r="Z18">
        <f>IF(ISNA(VLOOKUP((CONCATENATE("Target Throw-",I18,"-",Input!L18)),points11,2,)),0,VLOOKUP((CONCATENATE("Target Throw-",I18,"-",Input!L18)),points11,2,))</f>
        <v>0</v>
      </c>
      <c r="AA18">
        <f>IF(ISNA(VLOOKUP((CONCATENATE("Hi-Stepper-",I18,"-",Input!M18)),points11,2,)),0,VLOOKUP((CONCATENATE("Hi-Stepper-",I18,"-",Input!M18)),points11,2,))</f>
        <v>0</v>
      </c>
      <c r="AB18">
        <f>IF(ISNA(VLOOKUP((CONCATENATE("Chest Push-",I18,"-",Input!N18)),points11,2,)),0,VLOOKUP((CONCATENATE("Chest Push-",I18,"-",Input!N18)),points11,2,))</f>
        <v>0</v>
      </c>
      <c r="AC18">
        <f>IF(ISNA(VLOOKUP((CONCATENATE("Javelin Throw-",I18,"-",Input!O18)),points11,2,)),0,VLOOKUP((CONCATENATE("Javelin Throw-",I18,"-",Input!O18)),points11,2,))</f>
        <v>0</v>
      </c>
      <c r="AD18">
        <f t="shared" si="10"/>
        <v>0</v>
      </c>
      <c r="AE18" t="str">
        <f t="shared" si="11"/>
        <v xml:space="preserve"> </v>
      </c>
      <c r="AF18">
        <f t="shared" si="1"/>
        <v>0</v>
      </c>
      <c r="AI18">
        <v>9</v>
      </c>
    </row>
    <row r="19" spans="2:35" ht="15" thickBot="1" x14ac:dyDescent="0.4">
      <c r="B19" s="631"/>
      <c r="C19" s="520">
        <v>9</v>
      </c>
      <c r="D19" s="287">
        <v>1</v>
      </c>
      <c r="E19" s="371"/>
      <c r="F19" s="362"/>
      <c r="G19" s="372"/>
      <c r="H19" s="372"/>
      <c r="I19" s="372"/>
      <c r="J19" s="373"/>
      <c r="K19" s="374"/>
      <c r="L19" s="374"/>
      <c r="M19" s="374"/>
      <c r="N19" s="375"/>
      <c r="O19" s="487"/>
      <c r="P19" s="509">
        <f t="shared" si="2"/>
        <v>0</v>
      </c>
      <c r="Q19" s="445">
        <f t="shared" si="3"/>
        <v>0</v>
      </c>
      <c r="R19" s="445">
        <f t="shared" si="4"/>
        <v>0</v>
      </c>
      <c r="S19" s="445">
        <f t="shared" si="5"/>
        <v>0</v>
      </c>
      <c r="T19" s="445">
        <f t="shared" si="6"/>
        <v>0</v>
      </c>
      <c r="U19" s="445">
        <f t="shared" si="7"/>
        <v>0</v>
      </c>
      <c r="V19" s="445">
        <f t="shared" si="8"/>
        <v>0</v>
      </c>
      <c r="W19" s="446">
        <f t="shared" si="9"/>
        <v>0</v>
      </c>
      <c r="X19">
        <f>IF(ISNA(VLOOKUP((CONCATENATE("Standing Long Jump-",I19,"-",Input!J19)),points11,2,)),0,VLOOKUP((CONCATENATE("Standing Long Jump-",I19,"-",Input!J19)),points11,2,))</f>
        <v>0</v>
      </c>
      <c r="Y19">
        <f>IF(ISNA(VLOOKUP((CONCATENATE("Speed Bounce-",I19,"-",Input!K19)),points11,2,)),0,VLOOKUP((CONCATENATE("Speed Bounce-",I19,"-",Input!K19)),points11,2,))</f>
        <v>0</v>
      </c>
      <c r="Z19">
        <f>IF(ISNA(VLOOKUP((CONCATENATE("Target Throw-",I19,"-",Input!L19)),points11,2,)),0,VLOOKUP((CONCATENATE("Target Throw-",I19,"-",Input!L19)),points11,2,))</f>
        <v>0</v>
      </c>
      <c r="AA19">
        <f>IF(ISNA(VLOOKUP((CONCATENATE("Hi-Stepper-",I19,"-",Input!M19)),points11,2,)),0,VLOOKUP((CONCATENATE("Hi-Stepper-",I19,"-",Input!M19)),points11,2,))</f>
        <v>0</v>
      </c>
      <c r="AB19">
        <f>IF(ISNA(VLOOKUP((CONCATENATE("Chest Push-",I19,"-",Input!N19)),points11,2,)),0,VLOOKUP((CONCATENATE("Chest Push-",I19,"-",Input!N19)),points11,2,))</f>
        <v>0</v>
      </c>
      <c r="AC19">
        <f>IF(ISNA(VLOOKUP((CONCATENATE("Javelin Throw-",I19,"-",Input!O19)),points11,2,)),0,VLOOKUP((CONCATENATE("Javelin Throw-",I19,"-",Input!O19)),points11,2,))</f>
        <v>0</v>
      </c>
      <c r="AD19">
        <f t="shared" si="10"/>
        <v>0</v>
      </c>
      <c r="AE19" t="str">
        <f t="shared" si="11"/>
        <v xml:space="preserve"> </v>
      </c>
      <c r="AF19">
        <f t="shared" si="1"/>
        <v>0</v>
      </c>
      <c r="AI19">
        <v>10</v>
      </c>
    </row>
    <row r="20" spans="2:35" ht="15" thickBot="1" x14ac:dyDescent="0.4">
      <c r="B20" s="631"/>
      <c r="C20" s="520">
        <v>10</v>
      </c>
      <c r="D20" s="287">
        <v>1</v>
      </c>
      <c r="E20" s="371"/>
      <c r="F20" s="362"/>
      <c r="G20" s="372"/>
      <c r="H20" s="372"/>
      <c r="I20" s="372"/>
      <c r="J20" s="373"/>
      <c r="K20" s="374"/>
      <c r="L20" s="374"/>
      <c r="M20" s="374"/>
      <c r="N20" s="375"/>
      <c r="O20" s="487"/>
      <c r="P20" s="509">
        <f t="shared" si="2"/>
        <v>0</v>
      </c>
      <c r="Q20" s="445">
        <f t="shared" si="3"/>
        <v>0</v>
      </c>
      <c r="R20" s="445">
        <f t="shared" si="4"/>
        <v>0</v>
      </c>
      <c r="S20" s="445">
        <f t="shared" si="5"/>
        <v>0</v>
      </c>
      <c r="T20" s="445">
        <f t="shared" si="6"/>
        <v>0</v>
      </c>
      <c r="U20" s="445">
        <f t="shared" si="7"/>
        <v>0</v>
      </c>
      <c r="V20" s="445">
        <f t="shared" si="8"/>
        <v>0</v>
      </c>
      <c r="W20" s="446">
        <f t="shared" si="9"/>
        <v>0</v>
      </c>
      <c r="X20">
        <f>IF(ISNA(VLOOKUP((CONCATENATE("Standing Long Jump-",I20,"-",Input!J20)),points11,2,)),0,VLOOKUP((CONCATENATE("Standing Long Jump-",I20,"-",Input!J20)),points11,2,))</f>
        <v>0</v>
      </c>
      <c r="Y20">
        <f>IF(ISNA(VLOOKUP((CONCATENATE("Speed Bounce-",I20,"-",Input!K20)),points11,2,)),0,VLOOKUP((CONCATENATE("Speed Bounce-",I20,"-",Input!K20)),points11,2,))</f>
        <v>0</v>
      </c>
      <c r="Z20">
        <f>IF(ISNA(VLOOKUP((CONCATENATE("Target Throw-",I20,"-",Input!L20)),points11,2,)),0,VLOOKUP((CONCATENATE("Target Throw-",I20,"-",Input!L20)),points11,2,))</f>
        <v>0</v>
      </c>
      <c r="AA20">
        <f>IF(ISNA(VLOOKUP((CONCATENATE("Hi-Stepper-",I20,"-",Input!M20)),points11,2,)),0,VLOOKUP((CONCATENATE("Hi-Stepper-",I20,"-",Input!M20)),points11,2,))</f>
        <v>0</v>
      </c>
      <c r="AB20">
        <f>IF(ISNA(VLOOKUP((CONCATENATE("Chest Push-",I20,"-",Input!N20)),points11,2,)),0,VLOOKUP((CONCATENATE("Chest Push-",I20,"-",Input!N20)),points11,2,))</f>
        <v>0</v>
      </c>
      <c r="AC20">
        <f>IF(ISNA(VLOOKUP((CONCATENATE("Javelin Throw-",I20,"-",Input!O20)),points11,2,)),0,VLOOKUP((CONCATENATE("Javelin Throw-",I20,"-",Input!O20)),points11,2,))</f>
        <v>0</v>
      </c>
      <c r="AD20">
        <f t="shared" si="10"/>
        <v>0</v>
      </c>
      <c r="AE20" t="str">
        <f t="shared" si="11"/>
        <v xml:space="preserve"> </v>
      </c>
      <c r="AF20">
        <f t="shared" si="1"/>
        <v>0</v>
      </c>
      <c r="AI20">
        <v>11</v>
      </c>
    </row>
    <row r="21" spans="2:35" ht="15" thickBot="1" x14ac:dyDescent="0.4">
      <c r="B21" s="631"/>
      <c r="C21" s="520">
        <v>11</v>
      </c>
      <c r="D21" s="287">
        <v>1</v>
      </c>
      <c r="E21" s="371"/>
      <c r="F21" s="362"/>
      <c r="G21" s="372"/>
      <c r="H21" s="372"/>
      <c r="I21" s="372"/>
      <c r="J21" s="373"/>
      <c r="K21" s="374"/>
      <c r="L21" s="374"/>
      <c r="M21" s="374"/>
      <c r="N21" s="375"/>
      <c r="O21" s="487"/>
      <c r="P21" s="509">
        <f t="shared" si="2"/>
        <v>0</v>
      </c>
      <c r="Q21" s="445">
        <f t="shared" si="3"/>
        <v>0</v>
      </c>
      <c r="R21" s="445">
        <f t="shared" si="4"/>
        <v>0</v>
      </c>
      <c r="S21" s="445">
        <f t="shared" si="5"/>
        <v>0</v>
      </c>
      <c r="T21" s="445">
        <f t="shared" si="6"/>
        <v>0</v>
      </c>
      <c r="U21" s="445">
        <f t="shared" si="7"/>
        <v>0</v>
      </c>
      <c r="V21" s="445">
        <f t="shared" si="8"/>
        <v>0</v>
      </c>
      <c r="W21" s="446">
        <f t="shared" si="9"/>
        <v>0</v>
      </c>
      <c r="X21">
        <f>IF(ISNA(VLOOKUP((CONCATENATE("Standing Long Jump-",I21,"-",Input!J21)),points11,2,)),0,VLOOKUP((CONCATENATE("Standing Long Jump-",I21,"-",Input!J21)),points11,2,))</f>
        <v>0</v>
      </c>
      <c r="Y21">
        <f>IF(ISNA(VLOOKUP((CONCATENATE("Speed Bounce-",I21,"-",Input!K21)),points11,2,)),0,VLOOKUP((CONCATENATE("Speed Bounce-",I21,"-",Input!K21)),points11,2,))</f>
        <v>0</v>
      </c>
      <c r="Z21">
        <f>IF(ISNA(VLOOKUP((CONCATENATE("Target Throw-",I21,"-",Input!L21)),points11,2,)),0,VLOOKUP((CONCATENATE("Target Throw-",I21,"-",Input!L21)),points11,2,))</f>
        <v>0</v>
      </c>
      <c r="AA21">
        <f>IF(ISNA(VLOOKUP((CONCATENATE("Hi-Stepper-",I21,"-",Input!M21)),points11,2,)),0,VLOOKUP((CONCATENATE("Hi-Stepper-",I21,"-",Input!M21)),points11,2,))</f>
        <v>0</v>
      </c>
      <c r="AB21">
        <f>IF(ISNA(VLOOKUP((CONCATENATE("Chest Push-",I21,"-",Input!N21)),points11,2,)),0,VLOOKUP((CONCATENATE("Chest Push-",I21,"-",Input!N21)),points11,2,))</f>
        <v>0</v>
      </c>
      <c r="AC21">
        <f>IF(ISNA(VLOOKUP((CONCATENATE("Javelin Throw-",I21,"-",Input!O21)),points11,2,)),0,VLOOKUP((CONCATENATE("Javelin Throw-",I21,"-",Input!O21)),points11,2,))</f>
        <v>0</v>
      </c>
      <c r="AD21">
        <f t="shared" si="10"/>
        <v>0</v>
      </c>
      <c r="AE21" t="str">
        <f t="shared" si="11"/>
        <v xml:space="preserve"> </v>
      </c>
      <c r="AF21">
        <f t="shared" si="1"/>
        <v>0</v>
      </c>
      <c r="AI21">
        <v>12</v>
      </c>
    </row>
    <row r="22" spans="2:35" ht="15" thickBot="1" x14ac:dyDescent="0.4">
      <c r="B22" s="637"/>
      <c r="C22" s="521">
        <v>12</v>
      </c>
      <c r="D22" s="398">
        <v>1</v>
      </c>
      <c r="E22" s="434"/>
      <c r="F22" s="395"/>
      <c r="G22" s="435"/>
      <c r="H22" s="435"/>
      <c r="I22" s="435"/>
      <c r="J22" s="436"/>
      <c r="K22" s="437"/>
      <c r="L22" s="437"/>
      <c r="M22" s="437"/>
      <c r="N22" s="438"/>
      <c r="O22" s="488"/>
      <c r="P22" s="510">
        <f t="shared" si="2"/>
        <v>0</v>
      </c>
      <c r="Q22" s="447">
        <f t="shared" si="3"/>
        <v>0</v>
      </c>
      <c r="R22" s="447">
        <f t="shared" si="4"/>
        <v>0</v>
      </c>
      <c r="S22" s="447">
        <f t="shared" si="5"/>
        <v>0</v>
      </c>
      <c r="T22" s="447">
        <f t="shared" si="6"/>
        <v>0</v>
      </c>
      <c r="U22" s="447">
        <f t="shared" si="7"/>
        <v>0</v>
      </c>
      <c r="V22" s="447">
        <f t="shared" si="8"/>
        <v>0</v>
      </c>
      <c r="W22" s="448">
        <f t="shared" si="9"/>
        <v>0</v>
      </c>
      <c r="X22">
        <f>IF(ISNA(VLOOKUP((CONCATENATE("Standing Long Jump-",I22,"-",Input!J22)),points11,2,)),0,VLOOKUP((CONCATENATE("Standing Long Jump-",I22,"-",Input!J22)),points11,2,))</f>
        <v>0</v>
      </c>
      <c r="Y22">
        <f>IF(ISNA(VLOOKUP((CONCATENATE("Speed Bounce-",I22,"-",Input!K22)),points11,2,)),0,VLOOKUP((CONCATENATE("Speed Bounce-",I22,"-",Input!K22)),points11,2,))</f>
        <v>0</v>
      </c>
      <c r="Z22">
        <f>IF(ISNA(VLOOKUP((CONCATENATE("Target Throw-",I22,"-",Input!L22)),points11,2,)),0,VLOOKUP((CONCATENATE("Target Throw-",I22,"-",Input!L22)),points11,2,))</f>
        <v>0</v>
      </c>
      <c r="AA22">
        <f>IF(ISNA(VLOOKUP((CONCATENATE("Hi-Stepper-",I22,"-",Input!M22)),points11,2,)),0,VLOOKUP((CONCATENATE("Hi-Stepper-",I22,"-",Input!M22)),points11,2,))</f>
        <v>0</v>
      </c>
      <c r="AB22">
        <f>IF(ISNA(VLOOKUP((CONCATENATE("Chest Push-",I22,"-",Input!N22)),points11,2,)),0,VLOOKUP((CONCATENATE("Chest Push-",I22,"-",Input!N22)),points11,2,))</f>
        <v>0</v>
      </c>
      <c r="AC22">
        <f>IF(ISNA(VLOOKUP((CONCATENATE("Javelin Throw-",I22,"-",Input!O22)),points11,2,)),0,VLOOKUP((CONCATENATE("Javelin Throw-",I22,"-",Input!O22)),points11,2,))</f>
        <v>0</v>
      </c>
      <c r="AD22">
        <f t="shared" si="10"/>
        <v>0</v>
      </c>
      <c r="AE22" t="str">
        <f t="shared" si="11"/>
        <v xml:space="preserve"> </v>
      </c>
      <c r="AF22">
        <f t="shared" si="1"/>
        <v>0</v>
      </c>
      <c r="AI22">
        <v>13</v>
      </c>
    </row>
    <row r="23" spans="2:35" ht="15" thickBot="1" x14ac:dyDescent="0.4">
      <c r="B23" s="631" t="str">
        <f>'Competition Menu'!C12</f>
        <v>Team 2</v>
      </c>
      <c r="C23" s="520">
        <v>1</v>
      </c>
      <c r="D23" s="405">
        <v>2</v>
      </c>
      <c r="E23" s="406"/>
      <c r="F23" s="407"/>
      <c r="G23" s="408"/>
      <c r="H23" s="408"/>
      <c r="I23" s="408"/>
      <c r="J23" s="409"/>
      <c r="K23" s="410"/>
      <c r="L23" s="410"/>
      <c r="M23" s="410"/>
      <c r="N23" s="411"/>
      <c r="O23" s="489"/>
      <c r="P23" s="511">
        <f t="shared" si="2"/>
        <v>0</v>
      </c>
      <c r="Q23" s="449">
        <f t="shared" si="3"/>
        <v>0</v>
      </c>
      <c r="R23" s="449">
        <f t="shared" si="4"/>
        <v>0</v>
      </c>
      <c r="S23" s="449">
        <f t="shared" si="5"/>
        <v>0</v>
      </c>
      <c r="T23" s="449">
        <f t="shared" si="6"/>
        <v>0</v>
      </c>
      <c r="U23" s="449">
        <f t="shared" si="7"/>
        <v>0</v>
      </c>
      <c r="V23" s="449">
        <f t="shared" si="8"/>
        <v>0</v>
      </c>
      <c r="W23" s="450">
        <f t="shared" si="9"/>
        <v>0</v>
      </c>
      <c r="X23">
        <f>IF(ISNA(VLOOKUP((CONCATENATE("Standing Long Jump-",I23,"-",Input!J23)),points11,2,)),0,VLOOKUP((CONCATENATE("Standing Long Jump-",I23,"-",Input!J23)),points11,2,))</f>
        <v>0</v>
      </c>
      <c r="Y23">
        <f>IF(ISNA(VLOOKUP((CONCATENATE("Speed Bounce-",I23,"-",Input!K23)),points11,2,)),0,VLOOKUP((CONCATENATE("Speed Bounce-",I23,"-",Input!K23)),points11,2,))</f>
        <v>0</v>
      </c>
      <c r="Z23">
        <f>IF(ISNA(VLOOKUP((CONCATENATE("Target Throw-",I23,"-",Input!L23)),points11,2,)),0,VLOOKUP((CONCATENATE("Target Throw-",I23,"-",Input!L23)),points11,2,))</f>
        <v>0</v>
      </c>
      <c r="AA23">
        <f>IF(ISNA(VLOOKUP((CONCATENATE("Hi-Stepper-",I23,"-",Input!M23)),points11,2,)),0,VLOOKUP((CONCATENATE("Hi-Stepper-",I23,"-",Input!M23)),points11,2,))</f>
        <v>0</v>
      </c>
      <c r="AB23">
        <f>IF(ISNA(VLOOKUP((CONCATENATE("Chest Push-",I23,"-",Input!N23)),points11,2,)),0,VLOOKUP((CONCATENATE("Chest Push-",I23,"-",Input!N23)),points11,2,))</f>
        <v>0</v>
      </c>
      <c r="AC23">
        <f>IF(ISNA(VLOOKUP((CONCATENATE("Javelin Throw-",I23,"-",Input!O23)),points11,2,)),0,VLOOKUP((CONCATENATE("Javelin Throw-",I23,"-",Input!O23)),points11,2,))</f>
        <v>0</v>
      </c>
      <c r="AD23">
        <f t="shared" si="10"/>
        <v>0</v>
      </c>
      <c r="AE23" t="str">
        <f t="shared" si="11"/>
        <v xml:space="preserve"> </v>
      </c>
      <c r="AF23">
        <f t="shared" si="1"/>
        <v>0</v>
      </c>
      <c r="AI23">
        <v>15</v>
      </c>
    </row>
    <row r="24" spans="2:35" ht="15" thickBot="1" x14ac:dyDescent="0.4">
      <c r="B24" s="631"/>
      <c r="C24" s="520">
        <v>2</v>
      </c>
      <c r="D24" s="288">
        <v>2</v>
      </c>
      <c r="E24" s="371"/>
      <c r="F24" s="362"/>
      <c r="G24" s="372"/>
      <c r="H24" s="372"/>
      <c r="I24" s="372"/>
      <c r="J24" s="373"/>
      <c r="K24" s="374"/>
      <c r="L24" s="374"/>
      <c r="M24" s="374"/>
      <c r="N24" s="375"/>
      <c r="O24" s="487"/>
      <c r="P24" s="509">
        <f t="shared" si="2"/>
        <v>0</v>
      </c>
      <c r="Q24" s="445">
        <f t="shared" si="3"/>
        <v>0</v>
      </c>
      <c r="R24" s="445">
        <f t="shared" si="4"/>
        <v>0</v>
      </c>
      <c r="S24" s="445">
        <f t="shared" si="5"/>
        <v>0</v>
      </c>
      <c r="T24" s="445">
        <f t="shared" si="6"/>
        <v>0</v>
      </c>
      <c r="U24" s="445">
        <f t="shared" si="7"/>
        <v>0</v>
      </c>
      <c r="V24" s="445">
        <f t="shared" si="8"/>
        <v>0</v>
      </c>
      <c r="W24" s="446">
        <f t="shared" si="9"/>
        <v>0</v>
      </c>
      <c r="X24">
        <f>IF(ISNA(VLOOKUP((CONCATENATE("Standing Long Jump-",I24,"-",Input!J24)),points11,2,)),0,VLOOKUP((CONCATENATE("Standing Long Jump-",I24,"-",Input!J24)),points11,2,))</f>
        <v>0</v>
      </c>
      <c r="Y24">
        <f>IF(ISNA(VLOOKUP((CONCATENATE("Speed Bounce-",I24,"-",Input!K24)),points11,2,)),0,VLOOKUP((CONCATENATE("Speed Bounce-",I24,"-",Input!K24)),points11,2,))</f>
        <v>0</v>
      </c>
      <c r="Z24">
        <f>IF(ISNA(VLOOKUP((CONCATENATE("Target Throw-",I24,"-",Input!L24)),points11,2,)),0,VLOOKUP((CONCATENATE("Target Throw-",I24,"-",Input!L24)),points11,2,))</f>
        <v>0</v>
      </c>
      <c r="AA24">
        <f>IF(ISNA(VLOOKUP((CONCATENATE("Hi-Stepper-",I24,"-",Input!M24)),points11,2,)),0,VLOOKUP((CONCATENATE("Hi-Stepper-",I24,"-",Input!M24)),points11,2,))</f>
        <v>0</v>
      </c>
      <c r="AB24">
        <f>IF(ISNA(VLOOKUP((CONCATENATE("Chest Push-",I24,"-",Input!N24)),points11,2,)),0,VLOOKUP((CONCATENATE("Chest Push-",I24,"-",Input!N24)),points11,2,))</f>
        <v>0</v>
      </c>
      <c r="AC24">
        <f>IF(ISNA(VLOOKUP((CONCATENATE("Javelin Throw-",I24,"-",Input!O24)),points11,2,)),0,VLOOKUP((CONCATENATE("Javelin Throw-",I24,"-",Input!O24)),points11,2,))</f>
        <v>0</v>
      </c>
      <c r="AD24">
        <f t="shared" si="10"/>
        <v>0</v>
      </c>
      <c r="AE24" t="str">
        <f t="shared" si="11"/>
        <v xml:space="preserve"> </v>
      </c>
      <c r="AF24">
        <f t="shared" si="1"/>
        <v>0</v>
      </c>
      <c r="AI24">
        <v>16</v>
      </c>
    </row>
    <row r="25" spans="2:35" ht="15" thickBot="1" x14ac:dyDescent="0.4">
      <c r="B25" s="631"/>
      <c r="C25" s="520">
        <v>3</v>
      </c>
      <c r="D25" s="288">
        <v>2</v>
      </c>
      <c r="E25" s="371"/>
      <c r="F25" s="362"/>
      <c r="G25" s="372"/>
      <c r="H25" s="372"/>
      <c r="I25" s="372"/>
      <c r="J25" s="373"/>
      <c r="K25" s="374"/>
      <c r="L25" s="374"/>
      <c r="M25" s="374"/>
      <c r="N25" s="375"/>
      <c r="O25" s="487"/>
      <c r="P25" s="509">
        <f t="shared" si="2"/>
        <v>0</v>
      </c>
      <c r="Q25" s="445">
        <f t="shared" si="3"/>
        <v>0</v>
      </c>
      <c r="R25" s="445">
        <f t="shared" si="4"/>
        <v>0</v>
      </c>
      <c r="S25" s="445">
        <f t="shared" si="5"/>
        <v>0</v>
      </c>
      <c r="T25" s="445">
        <f t="shared" si="6"/>
        <v>0</v>
      </c>
      <c r="U25" s="445">
        <f t="shared" si="7"/>
        <v>0</v>
      </c>
      <c r="V25" s="445">
        <f t="shared" si="8"/>
        <v>0</v>
      </c>
      <c r="W25" s="446">
        <f t="shared" si="9"/>
        <v>0</v>
      </c>
      <c r="X25">
        <f>IF(ISNA(VLOOKUP((CONCATENATE("Standing Long Jump-",I25,"-",Input!J25)),points11,2,)),0,VLOOKUP((CONCATENATE("Standing Long Jump-",I25,"-",Input!J25)),points11,2,))</f>
        <v>0</v>
      </c>
      <c r="Y25">
        <f>IF(ISNA(VLOOKUP((CONCATENATE("Speed Bounce-",I25,"-",Input!K25)),points11,2,)),0,VLOOKUP((CONCATENATE("Speed Bounce-",I25,"-",Input!K25)),points11,2,))</f>
        <v>0</v>
      </c>
      <c r="Z25">
        <f>IF(ISNA(VLOOKUP((CONCATENATE("Target Throw-",I25,"-",Input!L25)),points11,2,)),0,VLOOKUP((CONCATENATE("Target Throw-",I25,"-",Input!L25)),points11,2,))</f>
        <v>0</v>
      </c>
      <c r="AA25">
        <f>IF(ISNA(VLOOKUP((CONCATENATE("Hi-Stepper-",I25,"-",Input!M25)),points11,2,)),0,VLOOKUP((CONCATENATE("Hi-Stepper-",I25,"-",Input!M25)),points11,2,))</f>
        <v>0</v>
      </c>
      <c r="AB25">
        <f>IF(ISNA(VLOOKUP((CONCATENATE("Chest Push-",I25,"-",Input!N25)),points11,2,)),0,VLOOKUP((CONCATENATE("Chest Push-",I25,"-",Input!N25)),points11,2,))</f>
        <v>0</v>
      </c>
      <c r="AC25">
        <f>IF(ISNA(VLOOKUP((CONCATENATE("Javelin Throw-",I25,"-",Input!O25)),points11,2,)),0,VLOOKUP((CONCATENATE("Javelin Throw-",I25,"-",Input!O25)),points11,2,))</f>
        <v>0</v>
      </c>
      <c r="AD25">
        <f t="shared" si="10"/>
        <v>0</v>
      </c>
      <c r="AE25" t="str">
        <f t="shared" si="11"/>
        <v xml:space="preserve"> </v>
      </c>
      <c r="AF25">
        <f t="shared" si="1"/>
        <v>0</v>
      </c>
      <c r="AI25">
        <v>17</v>
      </c>
    </row>
    <row r="26" spans="2:35" ht="15" thickBot="1" x14ac:dyDescent="0.4">
      <c r="B26" s="631"/>
      <c r="C26" s="520">
        <v>4</v>
      </c>
      <c r="D26" s="288">
        <v>2</v>
      </c>
      <c r="E26" s="371"/>
      <c r="F26" s="362"/>
      <c r="G26" s="372"/>
      <c r="H26" s="372"/>
      <c r="I26" s="372"/>
      <c r="J26" s="373"/>
      <c r="K26" s="374"/>
      <c r="L26" s="374"/>
      <c r="M26" s="374"/>
      <c r="N26" s="375"/>
      <c r="O26" s="487"/>
      <c r="P26" s="509">
        <f t="shared" si="2"/>
        <v>0</v>
      </c>
      <c r="Q26" s="445">
        <f t="shared" si="3"/>
        <v>0</v>
      </c>
      <c r="R26" s="445">
        <f t="shared" si="4"/>
        <v>0</v>
      </c>
      <c r="S26" s="445">
        <f t="shared" si="5"/>
        <v>0</v>
      </c>
      <c r="T26" s="445">
        <f t="shared" si="6"/>
        <v>0</v>
      </c>
      <c r="U26" s="445">
        <f t="shared" si="7"/>
        <v>0</v>
      </c>
      <c r="V26" s="445">
        <f t="shared" si="8"/>
        <v>0</v>
      </c>
      <c r="W26" s="446">
        <f t="shared" si="9"/>
        <v>0</v>
      </c>
      <c r="X26">
        <f>IF(ISNA(VLOOKUP((CONCATENATE("Standing Long Jump-",I26,"-",Input!J26)),points11,2,)),0,VLOOKUP((CONCATENATE("Standing Long Jump-",I26,"-",Input!J26)),points11,2,))</f>
        <v>0</v>
      </c>
      <c r="Y26">
        <f>IF(ISNA(VLOOKUP((CONCATENATE("Speed Bounce-",I26,"-",Input!K26)),points11,2,)),0,VLOOKUP((CONCATENATE("Speed Bounce-",I26,"-",Input!K26)),points11,2,))</f>
        <v>0</v>
      </c>
      <c r="Z26">
        <f>IF(ISNA(VLOOKUP((CONCATENATE("Target Throw-",I26,"-",Input!L26)),points11,2,)),0,VLOOKUP((CONCATENATE("Target Throw-",I26,"-",Input!L26)),points11,2,))</f>
        <v>0</v>
      </c>
      <c r="AA26">
        <f>IF(ISNA(VLOOKUP((CONCATENATE("Hi-Stepper-",I26,"-",Input!M26)),points11,2,)),0,VLOOKUP((CONCATENATE("Hi-Stepper-",I26,"-",Input!M26)),points11,2,))</f>
        <v>0</v>
      </c>
      <c r="AB26">
        <f>IF(ISNA(VLOOKUP((CONCATENATE("Chest Push-",I26,"-",Input!N26)),points11,2,)),0,VLOOKUP((CONCATENATE("Chest Push-",I26,"-",Input!N26)),points11,2,))</f>
        <v>0</v>
      </c>
      <c r="AC26">
        <f>IF(ISNA(VLOOKUP((CONCATENATE("Javelin Throw-",I26,"-",Input!O26)),points11,2,)),0,VLOOKUP((CONCATENATE("Javelin Throw-",I26,"-",Input!O26)),points11,2,))</f>
        <v>0</v>
      </c>
      <c r="AD26">
        <f t="shared" si="10"/>
        <v>0</v>
      </c>
      <c r="AE26" t="str">
        <f t="shared" si="11"/>
        <v xml:space="preserve"> </v>
      </c>
      <c r="AF26">
        <f t="shared" si="1"/>
        <v>0</v>
      </c>
      <c r="AI26">
        <v>18</v>
      </c>
    </row>
    <row r="27" spans="2:35" ht="15" thickBot="1" x14ac:dyDescent="0.4">
      <c r="B27" s="631"/>
      <c r="C27" s="520">
        <v>5</v>
      </c>
      <c r="D27" s="288">
        <v>2</v>
      </c>
      <c r="E27" s="371"/>
      <c r="F27" s="362"/>
      <c r="G27" s="372"/>
      <c r="H27" s="372"/>
      <c r="I27" s="372"/>
      <c r="J27" s="373"/>
      <c r="K27" s="374"/>
      <c r="L27" s="374"/>
      <c r="M27" s="374"/>
      <c r="N27" s="375"/>
      <c r="O27" s="487"/>
      <c r="P27" s="509">
        <f t="shared" si="2"/>
        <v>0</v>
      </c>
      <c r="Q27" s="445">
        <f t="shared" si="3"/>
        <v>0</v>
      </c>
      <c r="R27" s="445">
        <f t="shared" si="4"/>
        <v>0</v>
      </c>
      <c r="S27" s="445">
        <f t="shared" si="5"/>
        <v>0</v>
      </c>
      <c r="T27" s="445">
        <f t="shared" si="6"/>
        <v>0</v>
      </c>
      <c r="U27" s="445">
        <f t="shared" si="7"/>
        <v>0</v>
      </c>
      <c r="V27" s="445">
        <f t="shared" si="8"/>
        <v>0</v>
      </c>
      <c r="W27" s="446">
        <f t="shared" si="9"/>
        <v>0</v>
      </c>
      <c r="X27">
        <f>IF(ISNA(VLOOKUP((CONCATENATE("Standing Long Jump-",I27,"-",Input!J27)),points11,2,)),0,VLOOKUP((CONCATENATE("Standing Long Jump-",I27,"-",Input!J27)),points11,2,))</f>
        <v>0</v>
      </c>
      <c r="Y27">
        <f>IF(ISNA(VLOOKUP((CONCATENATE("Speed Bounce-",I27,"-",Input!K27)),points11,2,)),0,VLOOKUP((CONCATENATE("Speed Bounce-",I27,"-",Input!K27)),points11,2,))</f>
        <v>0</v>
      </c>
      <c r="Z27">
        <f>IF(ISNA(VLOOKUP((CONCATENATE("Target Throw-",I27,"-",Input!L27)),points11,2,)),0,VLOOKUP((CONCATENATE("Target Throw-",I27,"-",Input!L27)),points11,2,))</f>
        <v>0</v>
      </c>
      <c r="AA27">
        <f>IF(ISNA(VLOOKUP((CONCATENATE("Hi-Stepper-",I27,"-",Input!M27)),points11,2,)),0,VLOOKUP((CONCATENATE("Hi-Stepper-",I27,"-",Input!M27)),points11,2,))</f>
        <v>0</v>
      </c>
      <c r="AB27">
        <f>IF(ISNA(VLOOKUP((CONCATENATE("Chest Push-",I27,"-",Input!N27)),points11,2,)),0,VLOOKUP((CONCATENATE("Chest Push-",I27,"-",Input!N27)),points11,2,))</f>
        <v>0</v>
      </c>
      <c r="AC27">
        <f>IF(ISNA(VLOOKUP((CONCATENATE("Javelin Throw-",I27,"-",Input!O27)),points11,2,)),0,VLOOKUP((CONCATENATE("Javelin Throw-",I27,"-",Input!O27)),points11,2,))</f>
        <v>0</v>
      </c>
      <c r="AD27">
        <f t="shared" si="10"/>
        <v>0</v>
      </c>
      <c r="AE27" t="str">
        <f t="shared" si="11"/>
        <v xml:space="preserve"> </v>
      </c>
      <c r="AF27">
        <f t="shared" si="1"/>
        <v>0</v>
      </c>
      <c r="AI27">
        <v>19</v>
      </c>
    </row>
    <row r="28" spans="2:35" ht="15" thickBot="1" x14ac:dyDescent="0.4">
      <c r="B28" s="631"/>
      <c r="C28" s="520">
        <v>6</v>
      </c>
      <c r="D28" s="288">
        <v>2</v>
      </c>
      <c r="E28" s="371"/>
      <c r="F28" s="362"/>
      <c r="G28" s="372"/>
      <c r="H28" s="372"/>
      <c r="I28" s="372"/>
      <c r="J28" s="373"/>
      <c r="K28" s="374"/>
      <c r="L28" s="374"/>
      <c r="M28" s="374"/>
      <c r="N28" s="375"/>
      <c r="O28" s="487"/>
      <c r="P28" s="509">
        <f t="shared" si="2"/>
        <v>0</v>
      </c>
      <c r="Q28" s="445">
        <f t="shared" si="3"/>
        <v>0</v>
      </c>
      <c r="R28" s="445">
        <f t="shared" si="4"/>
        <v>0</v>
      </c>
      <c r="S28" s="445">
        <f t="shared" si="5"/>
        <v>0</v>
      </c>
      <c r="T28" s="445">
        <f t="shared" si="6"/>
        <v>0</v>
      </c>
      <c r="U28" s="445">
        <f t="shared" si="7"/>
        <v>0</v>
      </c>
      <c r="V28" s="445">
        <f t="shared" si="8"/>
        <v>0</v>
      </c>
      <c r="W28" s="446">
        <f t="shared" si="9"/>
        <v>0</v>
      </c>
      <c r="X28">
        <f>IF(ISNA(VLOOKUP((CONCATENATE("Standing Long Jump-",I28,"-",Input!J28)),points11,2,)),0,VLOOKUP((CONCATENATE("Standing Long Jump-",I28,"-",Input!J28)),points11,2,))</f>
        <v>0</v>
      </c>
      <c r="Y28">
        <f>IF(ISNA(VLOOKUP((CONCATENATE("Speed Bounce-",I28,"-",Input!K28)),points11,2,)),0,VLOOKUP((CONCATENATE("Speed Bounce-",I28,"-",Input!K28)),points11,2,))</f>
        <v>0</v>
      </c>
      <c r="Z28">
        <f>IF(ISNA(VLOOKUP((CONCATENATE("Target Throw-",I28,"-",Input!L28)),points11,2,)),0,VLOOKUP((CONCATENATE("Target Throw-",I28,"-",Input!L28)),points11,2,))</f>
        <v>0</v>
      </c>
      <c r="AA28">
        <f>IF(ISNA(VLOOKUP((CONCATENATE("Hi-Stepper-",I28,"-",Input!M28)),points11,2,)),0,VLOOKUP((CONCATENATE("Hi-Stepper-",I28,"-",Input!M28)),points11,2,))</f>
        <v>0</v>
      </c>
      <c r="AB28">
        <f>IF(ISNA(VLOOKUP((CONCATENATE("Chest Push-",I28,"-",Input!N28)),points11,2,)),0,VLOOKUP((CONCATENATE("Chest Push-",I28,"-",Input!N28)),points11,2,))</f>
        <v>0</v>
      </c>
      <c r="AC28">
        <f>IF(ISNA(VLOOKUP((CONCATENATE("Javelin Throw-",I28,"-",Input!O28)),points11,2,)),0,VLOOKUP((CONCATENATE("Javelin Throw-",I28,"-",Input!O28)),points11,2,))</f>
        <v>0</v>
      </c>
      <c r="AD28">
        <f t="shared" si="10"/>
        <v>0</v>
      </c>
      <c r="AE28" t="str">
        <f t="shared" si="11"/>
        <v xml:space="preserve"> </v>
      </c>
      <c r="AF28">
        <f t="shared" si="1"/>
        <v>0</v>
      </c>
      <c r="AI28">
        <v>20</v>
      </c>
    </row>
    <row r="29" spans="2:35" ht="15" thickBot="1" x14ac:dyDescent="0.4">
      <c r="B29" s="631"/>
      <c r="C29" s="520">
        <v>7</v>
      </c>
      <c r="D29" s="288">
        <v>2</v>
      </c>
      <c r="E29" s="371"/>
      <c r="F29" s="362"/>
      <c r="G29" s="372"/>
      <c r="H29" s="372"/>
      <c r="I29" s="372"/>
      <c r="J29" s="373"/>
      <c r="K29" s="374"/>
      <c r="L29" s="374"/>
      <c r="M29" s="374"/>
      <c r="N29" s="375"/>
      <c r="O29" s="487"/>
      <c r="P29" s="509">
        <f t="shared" si="2"/>
        <v>0</v>
      </c>
      <c r="Q29" s="445">
        <f t="shared" si="3"/>
        <v>0</v>
      </c>
      <c r="R29" s="445">
        <f t="shared" si="4"/>
        <v>0</v>
      </c>
      <c r="S29" s="445">
        <f t="shared" si="5"/>
        <v>0</v>
      </c>
      <c r="T29" s="445">
        <f t="shared" si="6"/>
        <v>0</v>
      </c>
      <c r="U29" s="445">
        <f t="shared" si="7"/>
        <v>0</v>
      </c>
      <c r="V29" s="445">
        <f t="shared" si="8"/>
        <v>0</v>
      </c>
      <c r="W29" s="446">
        <f t="shared" si="9"/>
        <v>0</v>
      </c>
      <c r="X29">
        <f>IF(ISNA(VLOOKUP((CONCATENATE("Standing Long Jump-",I29,"-",Input!J29)),points11,2,)),0,VLOOKUP((CONCATENATE("Standing Long Jump-",I29,"-",Input!J29)),points11,2,))</f>
        <v>0</v>
      </c>
      <c r="Y29">
        <f>IF(ISNA(VLOOKUP((CONCATENATE("Speed Bounce-",I29,"-",Input!K29)),points11,2,)),0,VLOOKUP((CONCATENATE("Speed Bounce-",I29,"-",Input!K29)),points11,2,))</f>
        <v>0</v>
      </c>
      <c r="Z29">
        <f>IF(ISNA(VLOOKUP((CONCATENATE("Target Throw-",I29,"-",Input!L29)),points11,2,)),0,VLOOKUP((CONCATENATE("Target Throw-",I29,"-",Input!L29)),points11,2,))</f>
        <v>0</v>
      </c>
      <c r="AA29">
        <f>IF(ISNA(VLOOKUP((CONCATENATE("Hi-Stepper-",I29,"-",Input!M29)),points11,2,)),0,VLOOKUP((CONCATENATE("Hi-Stepper-",I29,"-",Input!M29)),points11,2,))</f>
        <v>0</v>
      </c>
      <c r="AB29">
        <f>IF(ISNA(VLOOKUP((CONCATENATE("Chest Push-",I29,"-",Input!N29)),points11,2,)),0,VLOOKUP((CONCATENATE("Chest Push-",I29,"-",Input!N29)),points11,2,))</f>
        <v>0</v>
      </c>
      <c r="AC29">
        <f>IF(ISNA(VLOOKUP((CONCATENATE("Javelin Throw-",I29,"-",Input!O29)),points11,2,)),0,VLOOKUP((CONCATENATE("Javelin Throw-",I29,"-",Input!O29)),points11,2,))</f>
        <v>0</v>
      </c>
      <c r="AD29">
        <f t="shared" si="10"/>
        <v>0</v>
      </c>
      <c r="AE29" t="str">
        <f t="shared" si="11"/>
        <v xml:space="preserve"> </v>
      </c>
      <c r="AF29">
        <f t="shared" si="1"/>
        <v>0</v>
      </c>
      <c r="AI29">
        <v>21</v>
      </c>
    </row>
    <row r="30" spans="2:35" ht="15" thickBot="1" x14ac:dyDescent="0.4">
      <c r="B30" s="631"/>
      <c r="C30" s="520">
        <v>8</v>
      </c>
      <c r="D30" s="288">
        <v>2</v>
      </c>
      <c r="E30" s="371"/>
      <c r="F30" s="362"/>
      <c r="G30" s="372"/>
      <c r="H30" s="372"/>
      <c r="I30" s="372"/>
      <c r="J30" s="373"/>
      <c r="K30" s="374"/>
      <c r="L30" s="374"/>
      <c r="M30" s="374"/>
      <c r="N30" s="375"/>
      <c r="O30" s="487"/>
      <c r="P30" s="509">
        <f t="shared" si="2"/>
        <v>0</v>
      </c>
      <c r="Q30" s="445">
        <f t="shared" si="3"/>
        <v>0</v>
      </c>
      <c r="R30" s="445">
        <f t="shared" si="4"/>
        <v>0</v>
      </c>
      <c r="S30" s="445">
        <f t="shared" si="5"/>
        <v>0</v>
      </c>
      <c r="T30" s="445">
        <f t="shared" si="6"/>
        <v>0</v>
      </c>
      <c r="U30" s="445">
        <f t="shared" si="7"/>
        <v>0</v>
      </c>
      <c r="V30" s="445">
        <f t="shared" si="8"/>
        <v>0</v>
      </c>
      <c r="W30" s="446">
        <f t="shared" si="9"/>
        <v>0</v>
      </c>
      <c r="X30">
        <f>IF(ISNA(VLOOKUP((CONCATENATE("Standing Long Jump-",I30,"-",Input!J30)),points11,2,)),0,VLOOKUP((CONCATENATE("Standing Long Jump-",I30,"-",Input!J30)),points11,2,))</f>
        <v>0</v>
      </c>
      <c r="Y30">
        <f>IF(ISNA(VLOOKUP((CONCATENATE("Speed Bounce-",I30,"-",Input!K30)),points11,2,)),0,VLOOKUP((CONCATENATE("Speed Bounce-",I30,"-",Input!K30)),points11,2,))</f>
        <v>0</v>
      </c>
      <c r="Z30">
        <f>IF(ISNA(VLOOKUP((CONCATENATE("Target Throw-",I30,"-",Input!L30)),points11,2,)),0,VLOOKUP((CONCATENATE("Target Throw-",I30,"-",Input!L30)),points11,2,))</f>
        <v>0</v>
      </c>
      <c r="AA30">
        <f>IF(ISNA(VLOOKUP((CONCATENATE("Hi-Stepper-",I30,"-",Input!M30)),points11,2,)),0,VLOOKUP((CONCATENATE("Hi-Stepper-",I30,"-",Input!M30)),points11,2,))</f>
        <v>0</v>
      </c>
      <c r="AB30">
        <f>IF(ISNA(VLOOKUP((CONCATENATE("Chest Push-",I30,"-",Input!N30)),points11,2,)),0,VLOOKUP((CONCATENATE("Chest Push-",I30,"-",Input!N30)),points11,2,))</f>
        <v>0</v>
      </c>
      <c r="AC30">
        <f>IF(ISNA(VLOOKUP((CONCATENATE("Javelin Throw-",I30,"-",Input!O30)),points11,2,)),0,VLOOKUP((CONCATENATE("Javelin Throw-",I30,"-",Input!O30)),points11,2,))</f>
        <v>0</v>
      </c>
      <c r="AD30">
        <f t="shared" si="10"/>
        <v>0</v>
      </c>
      <c r="AE30" t="str">
        <f t="shared" si="11"/>
        <v xml:space="preserve"> </v>
      </c>
      <c r="AF30">
        <f t="shared" si="1"/>
        <v>0</v>
      </c>
      <c r="AI30">
        <v>22</v>
      </c>
    </row>
    <row r="31" spans="2:35" ht="15" thickBot="1" x14ac:dyDescent="0.4">
      <c r="B31" s="631"/>
      <c r="C31" s="520">
        <v>9</v>
      </c>
      <c r="D31" s="288">
        <v>2</v>
      </c>
      <c r="E31" s="371"/>
      <c r="F31" s="362"/>
      <c r="G31" s="372"/>
      <c r="H31" s="372"/>
      <c r="I31" s="372"/>
      <c r="J31" s="373"/>
      <c r="K31" s="374"/>
      <c r="L31" s="374"/>
      <c r="M31" s="374"/>
      <c r="N31" s="375"/>
      <c r="O31" s="487"/>
      <c r="P31" s="509">
        <f t="shared" si="2"/>
        <v>0</v>
      </c>
      <c r="Q31" s="445">
        <f t="shared" si="3"/>
        <v>0</v>
      </c>
      <c r="R31" s="445">
        <f t="shared" si="4"/>
        <v>0</v>
      </c>
      <c r="S31" s="445">
        <f t="shared" si="5"/>
        <v>0</v>
      </c>
      <c r="T31" s="445">
        <f t="shared" si="6"/>
        <v>0</v>
      </c>
      <c r="U31" s="445">
        <f t="shared" si="7"/>
        <v>0</v>
      </c>
      <c r="V31" s="445">
        <f t="shared" si="8"/>
        <v>0</v>
      </c>
      <c r="W31" s="446">
        <f t="shared" si="9"/>
        <v>0</v>
      </c>
      <c r="X31">
        <f>IF(ISNA(VLOOKUP((CONCATENATE("Standing Long Jump-",I31,"-",Input!J31)),points11,2,)),0,VLOOKUP((CONCATENATE("Standing Long Jump-",I31,"-",Input!J31)),points11,2,))</f>
        <v>0</v>
      </c>
      <c r="Y31">
        <f>IF(ISNA(VLOOKUP((CONCATENATE("Speed Bounce-",I31,"-",Input!K31)),points11,2,)),0,VLOOKUP((CONCATENATE("Speed Bounce-",I31,"-",Input!K31)),points11,2,))</f>
        <v>0</v>
      </c>
      <c r="Z31">
        <f>IF(ISNA(VLOOKUP((CONCATENATE("Target Throw-",I31,"-",Input!L31)),points11,2,)),0,VLOOKUP((CONCATENATE("Target Throw-",I31,"-",Input!L31)),points11,2,))</f>
        <v>0</v>
      </c>
      <c r="AA31">
        <f>IF(ISNA(VLOOKUP((CONCATENATE("Hi-Stepper-",I31,"-",Input!M31)),points11,2,)),0,VLOOKUP((CONCATENATE("Hi-Stepper-",I31,"-",Input!M31)),points11,2,))</f>
        <v>0</v>
      </c>
      <c r="AB31">
        <f>IF(ISNA(VLOOKUP((CONCATENATE("Chest Push-",I31,"-",Input!N31)),points11,2,)),0,VLOOKUP((CONCATENATE("Chest Push-",I31,"-",Input!N31)),points11,2,))</f>
        <v>0</v>
      </c>
      <c r="AC31">
        <f>IF(ISNA(VLOOKUP((CONCATENATE("Javelin Throw-",I31,"-",Input!O31)),points11,2,)),0,VLOOKUP((CONCATENATE("Javelin Throw-",I31,"-",Input!O31)),points11,2,))</f>
        <v>0</v>
      </c>
      <c r="AD31">
        <f t="shared" si="10"/>
        <v>0</v>
      </c>
      <c r="AE31" t="str">
        <f t="shared" si="11"/>
        <v xml:space="preserve"> </v>
      </c>
      <c r="AF31">
        <f t="shared" si="1"/>
        <v>0</v>
      </c>
      <c r="AI31">
        <v>23</v>
      </c>
    </row>
    <row r="32" spans="2:35" ht="15" thickBot="1" x14ac:dyDescent="0.4">
      <c r="B32" s="631"/>
      <c r="C32" s="520">
        <v>10</v>
      </c>
      <c r="D32" s="288">
        <v>2</v>
      </c>
      <c r="E32" s="371"/>
      <c r="F32" s="362"/>
      <c r="G32" s="372"/>
      <c r="H32" s="372"/>
      <c r="I32" s="372"/>
      <c r="J32" s="373"/>
      <c r="K32" s="374"/>
      <c r="L32" s="374"/>
      <c r="M32" s="374"/>
      <c r="N32" s="375"/>
      <c r="O32" s="487"/>
      <c r="P32" s="509">
        <f t="shared" si="2"/>
        <v>0</v>
      </c>
      <c r="Q32" s="445">
        <f t="shared" si="3"/>
        <v>0</v>
      </c>
      <c r="R32" s="445">
        <f t="shared" si="4"/>
        <v>0</v>
      </c>
      <c r="S32" s="445">
        <f t="shared" si="5"/>
        <v>0</v>
      </c>
      <c r="T32" s="445">
        <f t="shared" si="6"/>
        <v>0</v>
      </c>
      <c r="U32" s="445">
        <f t="shared" si="7"/>
        <v>0</v>
      </c>
      <c r="V32" s="445">
        <f t="shared" si="8"/>
        <v>0</v>
      </c>
      <c r="W32" s="446">
        <f t="shared" si="9"/>
        <v>0</v>
      </c>
      <c r="X32">
        <f>IF(ISNA(VLOOKUP((CONCATENATE("Standing Long Jump-",I32,"-",Input!J32)),points11,2,)),0,VLOOKUP((CONCATENATE("Standing Long Jump-",I32,"-",Input!J32)),points11,2,))</f>
        <v>0</v>
      </c>
      <c r="Y32">
        <f>IF(ISNA(VLOOKUP((CONCATENATE("Speed Bounce-",I32,"-",Input!K32)),points11,2,)),0,VLOOKUP((CONCATENATE("Speed Bounce-",I32,"-",Input!K32)),points11,2,))</f>
        <v>0</v>
      </c>
      <c r="Z32">
        <f>IF(ISNA(VLOOKUP((CONCATENATE("Target Throw-",I32,"-",Input!L32)),points11,2,)),0,VLOOKUP((CONCATENATE("Target Throw-",I32,"-",Input!L32)),points11,2,))</f>
        <v>0</v>
      </c>
      <c r="AA32">
        <f>IF(ISNA(VLOOKUP((CONCATENATE("Hi-Stepper-",I32,"-",Input!M32)),points11,2,)),0,VLOOKUP((CONCATENATE("Hi-Stepper-",I32,"-",Input!M32)),points11,2,))</f>
        <v>0</v>
      </c>
      <c r="AB32">
        <f>IF(ISNA(VLOOKUP((CONCATENATE("Chest Push-",I32,"-",Input!N32)),points11,2,)),0,VLOOKUP((CONCATENATE("Chest Push-",I32,"-",Input!N32)),points11,2,))</f>
        <v>0</v>
      </c>
      <c r="AC32">
        <f>IF(ISNA(VLOOKUP((CONCATENATE("Javelin Throw-",I32,"-",Input!O32)),points11,2,)),0,VLOOKUP((CONCATENATE("Javelin Throw-",I32,"-",Input!O32)),points11,2,))</f>
        <v>0</v>
      </c>
      <c r="AD32">
        <f t="shared" si="10"/>
        <v>0</v>
      </c>
      <c r="AE32" t="str">
        <f t="shared" si="11"/>
        <v xml:space="preserve"> </v>
      </c>
      <c r="AF32">
        <f t="shared" si="1"/>
        <v>0</v>
      </c>
      <c r="AI32">
        <v>24</v>
      </c>
    </row>
    <row r="33" spans="2:35" ht="15" thickBot="1" x14ac:dyDescent="0.4">
      <c r="B33" s="631"/>
      <c r="C33" s="520">
        <v>11</v>
      </c>
      <c r="D33" s="288">
        <v>2</v>
      </c>
      <c r="E33" s="371"/>
      <c r="F33" s="362"/>
      <c r="G33" s="372"/>
      <c r="H33" s="372"/>
      <c r="I33" s="372"/>
      <c r="J33" s="373"/>
      <c r="K33" s="374"/>
      <c r="L33" s="374"/>
      <c r="M33" s="374"/>
      <c r="N33" s="375"/>
      <c r="O33" s="487"/>
      <c r="P33" s="509">
        <f t="shared" si="2"/>
        <v>0</v>
      </c>
      <c r="Q33" s="445">
        <f t="shared" si="3"/>
        <v>0</v>
      </c>
      <c r="R33" s="445">
        <f t="shared" si="4"/>
        <v>0</v>
      </c>
      <c r="S33" s="445">
        <f t="shared" si="5"/>
        <v>0</v>
      </c>
      <c r="T33" s="445">
        <f t="shared" si="6"/>
        <v>0</v>
      </c>
      <c r="U33" s="445">
        <f t="shared" si="7"/>
        <v>0</v>
      </c>
      <c r="V33" s="445">
        <f t="shared" si="8"/>
        <v>0</v>
      </c>
      <c r="W33" s="446">
        <f t="shared" si="9"/>
        <v>0</v>
      </c>
      <c r="X33">
        <f>IF(ISNA(VLOOKUP((CONCATENATE("Standing Long Jump-",I33,"-",Input!J33)),points11,2,)),0,VLOOKUP((CONCATENATE("Standing Long Jump-",I33,"-",Input!J33)),points11,2,))</f>
        <v>0</v>
      </c>
      <c r="Y33">
        <f>IF(ISNA(VLOOKUP((CONCATENATE("Speed Bounce-",I33,"-",Input!K33)),points11,2,)),0,VLOOKUP((CONCATENATE("Speed Bounce-",I33,"-",Input!K33)),points11,2,))</f>
        <v>0</v>
      </c>
      <c r="Z33">
        <f>IF(ISNA(VLOOKUP((CONCATENATE("Target Throw-",I33,"-",Input!L33)),points11,2,)),0,VLOOKUP((CONCATENATE("Target Throw-",I33,"-",Input!L33)),points11,2,))</f>
        <v>0</v>
      </c>
      <c r="AA33">
        <f>IF(ISNA(VLOOKUP((CONCATENATE("Hi-Stepper-",I33,"-",Input!M33)),points11,2,)),0,VLOOKUP((CONCATENATE("Hi-Stepper-",I33,"-",Input!M33)),points11,2,))</f>
        <v>0</v>
      </c>
      <c r="AB33">
        <f>IF(ISNA(VLOOKUP((CONCATENATE("Chest Push-",I33,"-",Input!N33)),points11,2,)),0,VLOOKUP((CONCATENATE("Chest Push-",I33,"-",Input!N33)),points11,2,))</f>
        <v>0</v>
      </c>
      <c r="AC33">
        <f>IF(ISNA(VLOOKUP((CONCATENATE("Javelin Throw-",I33,"-",Input!O33)),points11,2,)),0,VLOOKUP((CONCATENATE("Javelin Throw-",I33,"-",Input!O33)),points11,2,))</f>
        <v>0</v>
      </c>
      <c r="AD33">
        <f t="shared" si="10"/>
        <v>0</v>
      </c>
      <c r="AE33" t="str">
        <f t="shared" si="11"/>
        <v xml:space="preserve"> </v>
      </c>
      <c r="AF33">
        <f t="shared" si="1"/>
        <v>0</v>
      </c>
      <c r="AI33">
        <v>25</v>
      </c>
    </row>
    <row r="34" spans="2:35" ht="15" thickBot="1" x14ac:dyDescent="0.4">
      <c r="B34" s="631"/>
      <c r="C34" s="520">
        <v>12</v>
      </c>
      <c r="D34" s="288">
        <v>2</v>
      </c>
      <c r="E34" s="399"/>
      <c r="F34" s="400"/>
      <c r="G34" s="401"/>
      <c r="H34" s="401"/>
      <c r="I34" s="401"/>
      <c r="J34" s="402"/>
      <c r="K34" s="403"/>
      <c r="L34" s="403"/>
      <c r="M34" s="403"/>
      <c r="N34" s="404"/>
      <c r="O34" s="490"/>
      <c r="P34" s="512">
        <f t="shared" si="2"/>
        <v>0</v>
      </c>
      <c r="Q34" s="451">
        <f t="shared" si="3"/>
        <v>0</v>
      </c>
      <c r="R34" s="451">
        <f t="shared" si="4"/>
        <v>0</v>
      </c>
      <c r="S34" s="451">
        <f t="shared" si="5"/>
        <v>0</v>
      </c>
      <c r="T34" s="451">
        <f t="shared" si="6"/>
        <v>0</v>
      </c>
      <c r="U34" s="451">
        <f t="shared" si="7"/>
        <v>0</v>
      </c>
      <c r="V34" s="451">
        <f t="shared" si="8"/>
        <v>0</v>
      </c>
      <c r="W34" s="452">
        <f t="shared" si="9"/>
        <v>0</v>
      </c>
      <c r="X34">
        <f>IF(ISNA(VLOOKUP((CONCATENATE("Standing Long Jump-",I34,"-",Input!J34)),points11,2,)),0,VLOOKUP((CONCATENATE("Standing Long Jump-",I34,"-",Input!J34)),points11,2,))</f>
        <v>0</v>
      </c>
      <c r="Y34">
        <f>IF(ISNA(VLOOKUP((CONCATENATE("Speed Bounce-",I34,"-",Input!K34)),points11,2,)),0,VLOOKUP((CONCATENATE("Speed Bounce-",I34,"-",Input!K34)),points11,2,))</f>
        <v>0</v>
      </c>
      <c r="Z34">
        <f>IF(ISNA(VLOOKUP((CONCATENATE("Target Throw-",I34,"-",Input!L34)),points11,2,)),0,VLOOKUP((CONCATENATE("Target Throw-",I34,"-",Input!L34)),points11,2,))</f>
        <v>0</v>
      </c>
      <c r="AA34">
        <f>IF(ISNA(VLOOKUP((CONCATENATE("Hi-Stepper-",I34,"-",Input!M34)),points11,2,)),0,VLOOKUP((CONCATENATE("Hi-Stepper-",I34,"-",Input!M34)),points11,2,))</f>
        <v>0</v>
      </c>
      <c r="AB34">
        <f>IF(ISNA(VLOOKUP((CONCATENATE("Chest Push-",I34,"-",Input!N34)),points11,2,)),0,VLOOKUP((CONCATENATE("Chest Push-",I34,"-",Input!N34)),points11,2,))</f>
        <v>0</v>
      </c>
      <c r="AC34">
        <f>IF(ISNA(VLOOKUP((CONCATENATE("Javelin Throw-",I34,"-",Input!O34)),points11,2,)),0,VLOOKUP((CONCATENATE("Javelin Throw-",I34,"-",Input!O34)),points11,2,))</f>
        <v>0</v>
      </c>
      <c r="AD34">
        <f t="shared" si="10"/>
        <v>0</v>
      </c>
      <c r="AE34" t="str">
        <f t="shared" si="11"/>
        <v xml:space="preserve"> </v>
      </c>
      <c r="AF34">
        <f t="shared" si="1"/>
        <v>0</v>
      </c>
      <c r="AI34">
        <v>26</v>
      </c>
    </row>
    <row r="35" spans="2:35" ht="15" thickBot="1" x14ac:dyDescent="0.4">
      <c r="B35" s="631" t="str">
        <f>'Competition Menu'!C13</f>
        <v>Team 3</v>
      </c>
      <c r="C35" s="520">
        <v>1</v>
      </c>
      <c r="D35" s="289">
        <v>3</v>
      </c>
      <c r="E35" s="439"/>
      <c r="F35" s="357"/>
      <c r="G35" s="440"/>
      <c r="H35" s="440"/>
      <c r="I35" s="440"/>
      <c r="J35" s="441"/>
      <c r="K35" s="442"/>
      <c r="L35" s="442"/>
      <c r="M35" s="442"/>
      <c r="N35" s="443"/>
      <c r="O35" s="491"/>
      <c r="P35" s="513">
        <f t="shared" si="2"/>
        <v>0</v>
      </c>
      <c r="Q35" s="453">
        <f t="shared" si="3"/>
        <v>0</v>
      </c>
      <c r="R35" s="453">
        <f t="shared" si="4"/>
        <v>0</v>
      </c>
      <c r="S35" s="453">
        <f t="shared" si="5"/>
        <v>0</v>
      </c>
      <c r="T35" s="453">
        <f t="shared" si="6"/>
        <v>0</v>
      </c>
      <c r="U35" s="453">
        <f t="shared" si="7"/>
        <v>0</v>
      </c>
      <c r="V35" s="453">
        <f t="shared" si="8"/>
        <v>0</v>
      </c>
      <c r="W35" s="454">
        <f t="shared" si="9"/>
        <v>0</v>
      </c>
      <c r="X35">
        <f>IF(ISNA(VLOOKUP((CONCATENATE("Standing Long Jump-",I35,"-",Input!J35)),points11,2,)),0,VLOOKUP((CONCATENATE("Standing Long Jump-",I35,"-",Input!J35)),points11,2,))</f>
        <v>0</v>
      </c>
      <c r="Y35">
        <f>IF(ISNA(VLOOKUP((CONCATENATE("Speed Bounce-",I35,"-",Input!K35)),points11,2,)),0,VLOOKUP((CONCATENATE("Speed Bounce-",I35,"-",Input!K35)),points11,2,))</f>
        <v>0</v>
      </c>
      <c r="Z35">
        <f>IF(ISNA(VLOOKUP((CONCATENATE("Target Throw-",I35,"-",Input!L35)),points11,2,)),0,VLOOKUP((CONCATENATE("Target Throw-",I35,"-",Input!L35)),points11,2,))</f>
        <v>0</v>
      </c>
      <c r="AA35">
        <f>IF(ISNA(VLOOKUP((CONCATENATE("Hi-Stepper-",I35,"-",Input!M35)),points11,2,)),0,VLOOKUP((CONCATENATE("Hi-Stepper-",I35,"-",Input!M35)),points11,2,))</f>
        <v>0</v>
      </c>
      <c r="AB35">
        <f>IF(ISNA(VLOOKUP((CONCATENATE("Chest Push-",I35,"-",Input!N35)),points11,2,)),0,VLOOKUP((CONCATENATE("Chest Push-",I35,"-",Input!N35)),points11,2,))</f>
        <v>0</v>
      </c>
      <c r="AC35">
        <f>IF(ISNA(VLOOKUP((CONCATENATE("Javelin Throw-",I35,"-",Input!O35)),points11,2,)),0,VLOOKUP((CONCATENATE("Javelin Throw-",I35,"-",Input!O35)),points11,2,))</f>
        <v>0</v>
      </c>
      <c r="AD35">
        <f t="shared" si="10"/>
        <v>0</v>
      </c>
      <c r="AE35" t="str">
        <f t="shared" si="11"/>
        <v xml:space="preserve"> </v>
      </c>
      <c r="AF35">
        <f t="shared" si="1"/>
        <v>0</v>
      </c>
      <c r="AI35">
        <v>28</v>
      </c>
    </row>
    <row r="36" spans="2:35" ht="15" thickBot="1" x14ac:dyDescent="0.4">
      <c r="B36" s="631"/>
      <c r="C36" s="520">
        <v>2</v>
      </c>
      <c r="D36" s="289">
        <v>3</v>
      </c>
      <c r="E36" s="371"/>
      <c r="F36" s="362"/>
      <c r="G36" s="372"/>
      <c r="H36" s="372"/>
      <c r="I36" s="372"/>
      <c r="J36" s="373"/>
      <c r="K36" s="374"/>
      <c r="L36" s="374"/>
      <c r="M36" s="374"/>
      <c r="N36" s="375"/>
      <c r="O36" s="487"/>
      <c r="P36" s="509">
        <f t="shared" si="2"/>
        <v>0</v>
      </c>
      <c r="Q36" s="445">
        <f t="shared" si="3"/>
        <v>0</v>
      </c>
      <c r="R36" s="445">
        <f t="shared" si="4"/>
        <v>0</v>
      </c>
      <c r="S36" s="445">
        <f t="shared" si="5"/>
        <v>0</v>
      </c>
      <c r="T36" s="445">
        <f t="shared" si="6"/>
        <v>0</v>
      </c>
      <c r="U36" s="445">
        <f t="shared" si="7"/>
        <v>0</v>
      </c>
      <c r="V36" s="445">
        <f t="shared" si="8"/>
        <v>0</v>
      </c>
      <c r="W36" s="446">
        <f t="shared" si="9"/>
        <v>0</v>
      </c>
      <c r="X36">
        <f>IF(ISNA(VLOOKUP((CONCATENATE("Standing Long Jump-",I36,"-",Input!J36)),points11,2,)),0,VLOOKUP((CONCATENATE("Standing Long Jump-",I36,"-",Input!J36)),points11,2,))</f>
        <v>0</v>
      </c>
      <c r="Y36">
        <f>IF(ISNA(VLOOKUP((CONCATENATE("Speed Bounce-",I36,"-",Input!K36)),points11,2,)),0,VLOOKUP((CONCATENATE("Speed Bounce-",I36,"-",Input!K36)),points11,2,))</f>
        <v>0</v>
      </c>
      <c r="Z36">
        <f>IF(ISNA(VLOOKUP((CONCATENATE("Target Throw-",I36,"-",Input!L36)),points11,2,)),0,VLOOKUP((CONCATENATE("Target Throw-",I36,"-",Input!L36)),points11,2,))</f>
        <v>0</v>
      </c>
      <c r="AA36">
        <f>IF(ISNA(VLOOKUP((CONCATENATE("Hi-Stepper-",I36,"-",Input!M36)),points11,2,)),0,VLOOKUP((CONCATENATE("Hi-Stepper-",I36,"-",Input!M36)),points11,2,))</f>
        <v>0</v>
      </c>
      <c r="AB36">
        <f>IF(ISNA(VLOOKUP((CONCATENATE("Chest Push-",I36,"-",Input!N36)),points11,2,)),0,VLOOKUP((CONCATENATE("Chest Push-",I36,"-",Input!N36)),points11,2,))</f>
        <v>0</v>
      </c>
      <c r="AC36">
        <f>IF(ISNA(VLOOKUP((CONCATENATE("Javelin Throw-",I36,"-",Input!O36)),points11,2,)),0,VLOOKUP((CONCATENATE("Javelin Throw-",I36,"-",Input!O36)),points11,2,))</f>
        <v>0</v>
      </c>
      <c r="AD36">
        <f t="shared" si="10"/>
        <v>0</v>
      </c>
      <c r="AE36" t="str">
        <f t="shared" si="11"/>
        <v xml:space="preserve"> </v>
      </c>
      <c r="AF36">
        <f t="shared" si="1"/>
        <v>0</v>
      </c>
      <c r="AI36">
        <v>29</v>
      </c>
    </row>
    <row r="37" spans="2:35" ht="15" thickBot="1" x14ac:dyDescent="0.4">
      <c r="B37" s="631"/>
      <c r="C37" s="520">
        <v>3</v>
      </c>
      <c r="D37" s="289">
        <v>3</v>
      </c>
      <c r="E37" s="371"/>
      <c r="F37" s="362"/>
      <c r="G37" s="372"/>
      <c r="H37" s="372"/>
      <c r="I37" s="372"/>
      <c r="J37" s="373"/>
      <c r="K37" s="374"/>
      <c r="L37" s="374"/>
      <c r="M37" s="374"/>
      <c r="N37" s="375"/>
      <c r="O37" s="487"/>
      <c r="P37" s="509">
        <f t="shared" si="2"/>
        <v>0</v>
      </c>
      <c r="Q37" s="445">
        <f t="shared" si="3"/>
        <v>0</v>
      </c>
      <c r="R37" s="445">
        <f t="shared" si="4"/>
        <v>0</v>
      </c>
      <c r="S37" s="445">
        <f t="shared" si="5"/>
        <v>0</v>
      </c>
      <c r="T37" s="445">
        <f t="shared" si="6"/>
        <v>0</v>
      </c>
      <c r="U37" s="445">
        <f t="shared" si="7"/>
        <v>0</v>
      </c>
      <c r="V37" s="445">
        <f t="shared" si="8"/>
        <v>0</v>
      </c>
      <c r="W37" s="446">
        <f t="shared" si="9"/>
        <v>0</v>
      </c>
      <c r="X37">
        <f>IF(ISNA(VLOOKUP((CONCATENATE("Standing Long Jump-",I37,"-",Input!J37)),points11,2,)),0,VLOOKUP((CONCATENATE("Standing Long Jump-",I37,"-",Input!J37)),points11,2,))</f>
        <v>0</v>
      </c>
      <c r="Y37">
        <f>IF(ISNA(VLOOKUP((CONCATENATE("Speed Bounce-",I37,"-",Input!K37)),points11,2,)),0,VLOOKUP((CONCATENATE("Speed Bounce-",I37,"-",Input!K37)),points11,2,))</f>
        <v>0</v>
      </c>
      <c r="Z37">
        <f>IF(ISNA(VLOOKUP((CONCATENATE("Target Throw-",I37,"-",Input!L37)),points11,2,)),0,VLOOKUP((CONCATENATE("Target Throw-",I37,"-",Input!L37)),points11,2,))</f>
        <v>0</v>
      </c>
      <c r="AA37">
        <f>IF(ISNA(VLOOKUP((CONCATENATE("Hi-Stepper-",I37,"-",Input!M37)),points11,2,)),0,VLOOKUP((CONCATENATE("Hi-Stepper-",I37,"-",Input!M37)),points11,2,))</f>
        <v>0</v>
      </c>
      <c r="AB37">
        <f>IF(ISNA(VLOOKUP((CONCATENATE("Chest Push-",I37,"-",Input!N37)),points11,2,)),0,VLOOKUP((CONCATENATE("Chest Push-",I37,"-",Input!N37)),points11,2,))</f>
        <v>0</v>
      </c>
      <c r="AC37">
        <f>IF(ISNA(VLOOKUP((CONCATENATE("Javelin Throw-",I37,"-",Input!O37)),points11,2,)),0,VLOOKUP((CONCATENATE("Javelin Throw-",I37,"-",Input!O37)),points11,2,))</f>
        <v>0</v>
      </c>
      <c r="AD37">
        <f t="shared" si="10"/>
        <v>0</v>
      </c>
      <c r="AE37" t="str">
        <f t="shared" si="11"/>
        <v xml:space="preserve"> </v>
      </c>
      <c r="AF37">
        <f t="shared" si="1"/>
        <v>0</v>
      </c>
      <c r="AI37">
        <v>30</v>
      </c>
    </row>
    <row r="38" spans="2:35" ht="15" thickBot="1" x14ac:dyDescent="0.4">
      <c r="B38" s="631"/>
      <c r="C38" s="520">
        <v>4</v>
      </c>
      <c r="D38" s="289">
        <v>3</v>
      </c>
      <c r="E38" s="371"/>
      <c r="F38" s="362"/>
      <c r="G38" s="372"/>
      <c r="H38" s="372"/>
      <c r="I38" s="372"/>
      <c r="J38" s="373"/>
      <c r="K38" s="374"/>
      <c r="L38" s="374"/>
      <c r="M38" s="374"/>
      <c r="N38" s="375"/>
      <c r="O38" s="487"/>
      <c r="P38" s="509">
        <f t="shared" si="2"/>
        <v>0</v>
      </c>
      <c r="Q38" s="445">
        <f t="shared" si="3"/>
        <v>0</v>
      </c>
      <c r="R38" s="445">
        <f t="shared" si="4"/>
        <v>0</v>
      </c>
      <c r="S38" s="445">
        <f t="shared" si="5"/>
        <v>0</v>
      </c>
      <c r="T38" s="445">
        <f t="shared" si="6"/>
        <v>0</v>
      </c>
      <c r="U38" s="445">
        <f t="shared" si="7"/>
        <v>0</v>
      </c>
      <c r="V38" s="445">
        <f t="shared" si="8"/>
        <v>0</v>
      </c>
      <c r="W38" s="446">
        <f t="shared" si="9"/>
        <v>0</v>
      </c>
      <c r="X38">
        <f>IF(ISNA(VLOOKUP((CONCATENATE("Standing Long Jump-",I38,"-",Input!J38)),points11,2,)),0,VLOOKUP((CONCATENATE("Standing Long Jump-",I38,"-",Input!J38)),points11,2,))</f>
        <v>0</v>
      </c>
      <c r="Y38">
        <f>IF(ISNA(VLOOKUP((CONCATENATE("Speed Bounce-",I38,"-",Input!K38)),points11,2,)),0,VLOOKUP((CONCATENATE("Speed Bounce-",I38,"-",Input!K38)),points11,2,))</f>
        <v>0</v>
      </c>
      <c r="Z38">
        <f>IF(ISNA(VLOOKUP((CONCATENATE("Target Throw-",I38,"-",Input!L38)),points11,2,)),0,VLOOKUP((CONCATENATE("Target Throw-",I38,"-",Input!L38)),points11,2,))</f>
        <v>0</v>
      </c>
      <c r="AA38">
        <f>IF(ISNA(VLOOKUP((CONCATENATE("Hi-Stepper-",I38,"-",Input!M38)),points11,2,)),0,VLOOKUP((CONCATENATE("Hi-Stepper-",I38,"-",Input!M38)),points11,2,))</f>
        <v>0</v>
      </c>
      <c r="AB38">
        <f>IF(ISNA(VLOOKUP((CONCATENATE("Chest Push-",I38,"-",Input!N38)),points11,2,)),0,VLOOKUP((CONCATENATE("Chest Push-",I38,"-",Input!N38)),points11,2,))</f>
        <v>0</v>
      </c>
      <c r="AC38">
        <f>IF(ISNA(VLOOKUP((CONCATENATE("Javelin Throw-",I38,"-",Input!O38)),points11,2,)),0,VLOOKUP((CONCATENATE("Javelin Throw-",I38,"-",Input!O38)),points11,2,))</f>
        <v>0</v>
      </c>
      <c r="AD38">
        <f t="shared" si="10"/>
        <v>0</v>
      </c>
      <c r="AE38" t="str">
        <f t="shared" si="11"/>
        <v xml:space="preserve"> </v>
      </c>
      <c r="AF38">
        <f t="shared" si="1"/>
        <v>0</v>
      </c>
      <c r="AI38">
        <v>31</v>
      </c>
    </row>
    <row r="39" spans="2:35" ht="15" thickBot="1" x14ac:dyDescent="0.4">
      <c r="B39" s="631"/>
      <c r="C39" s="520">
        <v>5</v>
      </c>
      <c r="D39" s="289">
        <v>3</v>
      </c>
      <c r="E39" s="371"/>
      <c r="F39" s="362"/>
      <c r="G39" s="372"/>
      <c r="H39" s="372"/>
      <c r="I39" s="372"/>
      <c r="J39" s="373"/>
      <c r="K39" s="374"/>
      <c r="L39" s="374"/>
      <c r="M39" s="374"/>
      <c r="N39" s="375"/>
      <c r="O39" s="487"/>
      <c r="P39" s="509">
        <f t="shared" si="2"/>
        <v>0</v>
      </c>
      <c r="Q39" s="445">
        <f t="shared" si="3"/>
        <v>0</v>
      </c>
      <c r="R39" s="445">
        <f t="shared" si="4"/>
        <v>0</v>
      </c>
      <c r="S39" s="445">
        <f t="shared" si="5"/>
        <v>0</v>
      </c>
      <c r="T39" s="445">
        <f t="shared" si="6"/>
        <v>0</v>
      </c>
      <c r="U39" s="445">
        <f t="shared" si="7"/>
        <v>0</v>
      </c>
      <c r="V39" s="445">
        <f t="shared" si="8"/>
        <v>0</v>
      </c>
      <c r="W39" s="446">
        <f t="shared" si="9"/>
        <v>0</v>
      </c>
      <c r="X39">
        <f>IF(ISNA(VLOOKUP((CONCATENATE("Standing Long Jump-",I39,"-",Input!J39)),points11,2,)),0,VLOOKUP((CONCATENATE("Standing Long Jump-",I39,"-",Input!J39)),points11,2,))</f>
        <v>0</v>
      </c>
      <c r="Y39">
        <f>IF(ISNA(VLOOKUP((CONCATENATE("Speed Bounce-",I39,"-",Input!K39)),points11,2,)),0,VLOOKUP((CONCATENATE("Speed Bounce-",I39,"-",Input!K39)),points11,2,))</f>
        <v>0</v>
      </c>
      <c r="Z39">
        <f>IF(ISNA(VLOOKUP((CONCATENATE("Target Throw-",I39,"-",Input!L39)),points11,2,)),0,VLOOKUP((CONCATENATE("Target Throw-",I39,"-",Input!L39)),points11,2,))</f>
        <v>0</v>
      </c>
      <c r="AA39">
        <f>IF(ISNA(VLOOKUP((CONCATENATE("Hi-Stepper-",I39,"-",Input!M39)),points11,2,)),0,VLOOKUP((CONCATENATE("Hi-Stepper-",I39,"-",Input!M39)),points11,2,))</f>
        <v>0</v>
      </c>
      <c r="AB39">
        <f>IF(ISNA(VLOOKUP((CONCATENATE("Chest Push-",I39,"-",Input!N39)),points11,2,)),0,VLOOKUP((CONCATENATE("Chest Push-",I39,"-",Input!N39)),points11,2,))</f>
        <v>0</v>
      </c>
      <c r="AC39">
        <f>IF(ISNA(VLOOKUP((CONCATENATE("Javelin Throw-",I39,"-",Input!O39)),points11,2,)),0,VLOOKUP((CONCATENATE("Javelin Throw-",I39,"-",Input!O39)),points11,2,))</f>
        <v>0</v>
      </c>
      <c r="AD39">
        <f t="shared" si="10"/>
        <v>0</v>
      </c>
      <c r="AE39" t="str">
        <f t="shared" si="11"/>
        <v xml:space="preserve"> </v>
      </c>
      <c r="AF39">
        <f t="shared" si="1"/>
        <v>0</v>
      </c>
      <c r="AI39">
        <v>32</v>
      </c>
    </row>
    <row r="40" spans="2:35" ht="15" thickBot="1" x14ac:dyDescent="0.4">
      <c r="B40" s="631"/>
      <c r="C40" s="520">
        <v>6</v>
      </c>
      <c r="D40" s="289">
        <v>3</v>
      </c>
      <c r="E40" s="371"/>
      <c r="F40" s="362"/>
      <c r="G40" s="372"/>
      <c r="H40" s="372"/>
      <c r="I40" s="372"/>
      <c r="J40" s="373"/>
      <c r="K40" s="374"/>
      <c r="L40" s="374"/>
      <c r="M40" s="374"/>
      <c r="N40" s="375"/>
      <c r="O40" s="487"/>
      <c r="P40" s="509">
        <f t="shared" si="2"/>
        <v>0</v>
      </c>
      <c r="Q40" s="445">
        <f t="shared" si="3"/>
        <v>0</v>
      </c>
      <c r="R40" s="445">
        <f t="shared" si="4"/>
        <v>0</v>
      </c>
      <c r="S40" s="445">
        <f t="shared" si="5"/>
        <v>0</v>
      </c>
      <c r="T40" s="445">
        <f t="shared" si="6"/>
        <v>0</v>
      </c>
      <c r="U40" s="445">
        <f t="shared" si="7"/>
        <v>0</v>
      </c>
      <c r="V40" s="445">
        <f t="shared" si="8"/>
        <v>0</v>
      </c>
      <c r="W40" s="446">
        <f t="shared" si="9"/>
        <v>0</v>
      </c>
      <c r="X40">
        <f>IF(ISNA(VLOOKUP((CONCATENATE("Standing Long Jump-",I40,"-",Input!J40)),points11,2,)),0,VLOOKUP((CONCATENATE("Standing Long Jump-",I40,"-",Input!J40)),points11,2,))</f>
        <v>0</v>
      </c>
      <c r="Y40">
        <f>IF(ISNA(VLOOKUP((CONCATENATE("Speed Bounce-",I40,"-",Input!K40)),points11,2,)),0,VLOOKUP((CONCATENATE("Speed Bounce-",I40,"-",Input!K40)),points11,2,))</f>
        <v>0</v>
      </c>
      <c r="Z40">
        <f>IF(ISNA(VLOOKUP((CONCATENATE("Target Throw-",I40,"-",Input!L40)),points11,2,)),0,VLOOKUP((CONCATENATE("Target Throw-",I40,"-",Input!L40)),points11,2,))</f>
        <v>0</v>
      </c>
      <c r="AA40">
        <f>IF(ISNA(VLOOKUP((CONCATENATE("Hi-Stepper-",I40,"-",Input!M40)),points11,2,)),0,VLOOKUP((CONCATENATE("Hi-Stepper-",I40,"-",Input!M40)),points11,2,))</f>
        <v>0</v>
      </c>
      <c r="AB40">
        <f>IF(ISNA(VLOOKUP((CONCATENATE("Chest Push-",I40,"-",Input!N40)),points11,2,)),0,VLOOKUP((CONCATENATE("Chest Push-",I40,"-",Input!N40)),points11,2,))</f>
        <v>0</v>
      </c>
      <c r="AC40">
        <f>IF(ISNA(VLOOKUP((CONCATENATE("Javelin Throw-",I40,"-",Input!O40)),points11,2,)),0,VLOOKUP((CONCATENATE("Javelin Throw-",I40,"-",Input!O40)),points11,2,))</f>
        <v>0</v>
      </c>
      <c r="AD40">
        <f t="shared" si="10"/>
        <v>0</v>
      </c>
      <c r="AE40" t="str">
        <f t="shared" si="11"/>
        <v xml:space="preserve"> </v>
      </c>
      <c r="AF40">
        <f t="shared" si="1"/>
        <v>0</v>
      </c>
      <c r="AI40">
        <v>33</v>
      </c>
    </row>
    <row r="41" spans="2:35" ht="15" thickBot="1" x14ac:dyDescent="0.4">
      <c r="B41" s="631"/>
      <c r="C41" s="520">
        <v>7</v>
      </c>
      <c r="D41" s="289">
        <v>3</v>
      </c>
      <c r="E41" s="376"/>
      <c r="F41" s="362"/>
      <c r="G41" s="377"/>
      <c r="H41" s="377"/>
      <c r="I41" s="377"/>
      <c r="J41" s="373"/>
      <c r="K41" s="374"/>
      <c r="L41" s="374"/>
      <c r="M41" s="374"/>
      <c r="N41" s="375"/>
      <c r="O41" s="487"/>
      <c r="P41" s="509">
        <f t="shared" si="2"/>
        <v>0</v>
      </c>
      <c r="Q41" s="445">
        <f t="shared" si="3"/>
        <v>0</v>
      </c>
      <c r="R41" s="445">
        <f t="shared" si="4"/>
        <v>0</v>
      </c>
      <c r="S41" s="445">
        <f t="shared" si="5"/>
        <v>0</v>
      </c>
      <c r="T41" s="445">
        <f t="shared" si="6"/>
        <v>0</v>
      </c>
      <c r="U41" s="445">
        <f t="shared" si="7"/>
        <v>0</v>
      </c>
      <c r="V41" s="445">
        <f t="shared" si="8"/>
        <v>0</v>
      </c>
      <c r="W41" s="446">
        <f t="shared" si="9"/>
        <v>0</v>
      </c>
      <c r="X41">
        <f>IF(ISNA(VLOOKUP((CONCATENATE("Standing Long Jump-",I41,"-",Input!J41)),points11,2,)),0,VLOOKUP((CONCATENATE("Standing Long Jump-",I41,"-",Input!J41)),points11,2,))</f>
        <v>0</v>
      </c>
      <c r="Y41">
        <f>IF(ISNA(VLOOKUP((CONCATENATE("Speed Bounce-",I41,"-",Input!K41)),points11,2,)),0,VLOOKUP((CONCATENATE("Speed Bounce-",I41,"-",Input!K41)),points11,2,))</f>
        <v>0</v>
      </c>
      <c r="Z41">
        <f>IF(ISNA(VLOOKUP((CONCATENATE("Target Throw-",I41,"-",Input!L41)),points11,2,)),0,VLOOKUP((CONCATENATE("Target Throw-",I41,"-",Input!L41)),points11,2,))</f>
        <v>0</v>
      </c>
      <c r="AA41">
        <f>IF(ISNA(VLOOKUP((CONCATENATE("Hi-Stepper-",I41,"-",Input!M41)),points11,2,)),0,VLOOKUP((CONCATENATE("Hi-Stepper-",I41,"-",Input!M41)),points11,2,))</f>
        <v>0</v>
      </c>
      <c r="AB41">
        <f>IF(ISNA(VLOOKUP((CONCATENATE("Chest Push-",I41,"-",Input!N41)),points11,2,)),0,VLOOKUP((CONCATENATE("Chest Push-",I41,"-",Input!N41)),points11,2,))</f>
        <v>0</v>
      </c>
      <c r="AC41">
        <f>IF(ISNA(VLOOKUP((CONCATENATE("Javelin Throw-",I41,"-",Input!O41)),points11,2,)),0,VLOOKUP((CONCATENATE("Javelin Throw-",I41,"-",Input!O41)),points11,2,))</f>
        <v>0</v>
      </c>
      <c r="AD41">
        <f t="shared" si="10"/>
        <v>0</v>
      </c>
      <c r="AE41" t="str">
        <f t="shared" si="11"/>
        <v xml:space="preserve"> </v>
      </c>
      <c r="AF41">
        <f t="shared" si="1"/>
        <v>0</v>
      </c>
      <c r="AI41">
        <v>34</v>
      </c>
    </row>
    <row r="42" spans="2:35" ht="15" thickBot="1" x14ac:dyDescent="0.4">
      <c r="B42" s="631"/>
      <c r="C42" s="520">
        <v>8</v>
      </c>
      <c r="D42" s="289">
        <v>3</v>
      </c>
      <c r="E42" s="376"/>
      <c r="F42" s="362"/>
      <c r="G42" s="377"/>
      <c r="H42" s="377"/>
      <c r="I42" s="377"/>
      <c r="J42" s="373"/>
      <c r="K42" s="374"/>
      <c r="L42" s="374"/>
      <c r="M42" s="374"/>
      <c r="N42" s="375"/>
      <c r="O42" s="487"/>
      <c r="P42" s="509">
        <f t="shared" si="2"/>
        <v>0</v>
      </c>
      <c r="Q42" s="445">
        <f t="shared" si="3"/>
        <v>0</v>
      </c>
      <c r="R42" s="445">
        <f t="shared" si="4"/>
        <v>0</v>
      </c>
      <c r="S42" s="445">
        <f t="shared" si="5"/>
        <v>0</v>
      </c>
      <c r="T42" s="445">
        <f t="shared" si="6"/>
        <v>0</v>
      </c>
      <c r="U42" s="445">
        <f t="shared" si="7"/>
        <v>0</v>
      </c>
      <c r="V42" s="445">
        <f t="shared" si="8"/>
        <v>0</v>
      </c>
      <c r="W42" s="446">
        <f t="shared" si="9"/>
        <v>0</v>
      </c>
      <c r="X42">
        <f>IF(ISNA(VLOOKUP((CONCATENATE("Standing Long Jump-",I42,"-",Input!J42)),points11,2,)),0,VLOOKUP((CONCATENATE("Standing Long Jump-",I42,"-",Input!J42)),points11,2,))</f>
        <v>0</v>
      </c>
      <c r="Y42">
        <f>IF(ISNA(VLOOKUP((CONCATENATE("Speed Bounce-",I42,"-",Input!K42)),points11,2,)),0,VLOOKUP((CONCATENATE("Speed Bounce-",I42,"-",Input!K42)),points11,2,))</f>
        <v>0</v>
      </c>
      <c r="Z42">
        <f>IF(ISNA(VLOOKUP((CONCATENATE("Target Throw-",I42,"-",Input!L42)),points11,2,)),0,VLOOKUP((CONCATENATE("Target Throw-",I42,"-",Input!L42)),points11,2,))</f>
        <v>0</v>
      </c>
      <c r="AA42">
        <f>IF(ISNA(VLOOKUP((CONCATENATE("Hi-Stepper-",I42,"-",Input!M42)),points11,2,)),0,VLOOKUP((CONCATENATE("Hi-Stepper-",I42,"-",Input!M42)),points11,2,))</f>
        <v>0</v>
      </c>
      <c r="AB42">
        <f>IF(ISNA(VLOOKUP((CONCATENATE("Chest Push-",I42,"-",Input!N42)),points11,2,)),0,VLOOKUP((CONCATENATE("Chest Push-",I42,"-",Input!N42)),points11,2,))</f>
        <v>0</v>
      </c>
      <c r="AC42">
        <f>IF(ISNA(VLOOKUP((CONCATENATE("Javelin Throw-",I42,"-",Input!O42)),points11,2,)),0,VLOOKUP((CONCATENATE("Javelin Throw-",I42,"-",Input!O42)),points11,2,))</f>
        <v>0</v>
      </c>
      <c r="AD42">
        <f t="shared" si="10"/>
        <v>0</v>
      </c>
      <c r="AE42" t="str">
        <f t="shared" si="11"/>
        <v xml:space="preserve"> </v>
      </c>
      <c r="AF42">
        <f t="shared" si="1"/>
        <v>0</v>
      </c>
      <c r="AI42">
        <v>35</v>
      </c>
    </row>
    <row r="43" spans="2:35" ht="15" thickBot="1" x14ac:dyDescent="0.4">
      <c r="B43" s="631"/>
      <c r="C43" s="520">
        <v>9</v>
      </c>
      <c r="D43" s="289">
        <v>3</v>
      </c>
      <c r="E43" s="376"/>
      <c r="F43" s="362"/>
      <c r="G43" s="372"/>
      <c r="H43" s="372"/>
      <c r="I43" s="372"/>
      <c r="J43" s="373"/>
      <c r="K43" s="374"/>
      <c r="L43" s="374"/>
      <c r="M43" s="374"/>
      <c r="N43" s="375"/>
      <c r="O43" s="487"/>
      <c r="P43" s="509">
        <f t="shared" si="2"/>
        <v>0</v>
      </c>
      <c r="Q43" s="445">
        <f t="shared" si="3"/>
        <v>0</v>
      </c>
      <c r="R43" s="445">
        <f t="shared" si="4"/>
        <v>0</v>
      </c>
      <c r="S43" s="445">
        <f t="shared" si="5"/>
        <v>0</v>
      </c>
      <c r="T43" s="445">
        <f t="shared" si="6"/>
        <v>0</v>
      </c>
      <c r="U43" s="445">
        <f t="shared" si="7"/>
        <v>0</v>
      </c>
      <c r="V43" s="445">
        <f t="shared" si="8"/>
        <v>0</v>
      </c>
      <c r="W43" s="446">
        <f t="shared" si="9"/>
        <v>0</v>
      </c>
      <c r="X43">
        <f>IF(ISNA(VLOOKUP((CONCATENATE("Standing Long Jump-",I43,"-",Input!J43)),points11,2,)),0,VLOOKUP((CONCATENATE("Standing Long Jump-",I43,"-",Input!J43)),points11,2,))</f>
        <v>0</v>
      </c>
      <c r="Y43">
        <f>IF(ISNA(VLOOKUP((CONCATENATE("Speed Bounce-",I43,"-",Input!K43)),points11,2,)),0,VLOOKUP((CONCATENATE("Speed Bounce-",I43,"-",Input!K43)),points11,2,))</f>
        <v>0</v>
      </c>
      <c r="Z43">
        <f>IF(ISNA(VLOOKUP((CONCATENATE("Target Throw-",I43,"-",Input!L43)),points11,2,)),0,VLOOKUP((CONCATENATE("Target Throw-",I43,"-",Input!L43)),points11,2,))</f>
        <v>0</v>
      </c>
      <c r="AA43">
        <f>IF(ISNA(VLOOKUP((CONCATENATE("Hi-Stepper-",I43,"-",Input!M43)),points11,2,)),0,VLOOKUP((CONCATENATE("Hi-Stepper-",I43,"-",Input!M43)),points11,2,))</f>
        <v>0</v>
      </c>
      <c r="AB43">
        <f>IF(ISNA(VLOOKUP((CONCATENATE("Chest Push-",I43,"-",Input!N43)),points11,2,)),0,VLOOKUP((CONCATENATE("Chest Push-",I43,"-",Input!N43)),points11,2,))</f>
        <v>0</v>
      </c>
      <c r="AC43">
        <f>IF(ISNA(VLOOKUP((CONCATENATE("Javelin Throw-",I43,"-",Input!O43)),points11,2,)),0,VLOOKUP((CONCATENATE("Javelin Throw-",I43,"-",Input!O43)),points11,2,))</f>
        <v>0</v>
      </c>
      <c r="AD43">
        <f t="shared" si="10"/>
        <v>0</v>
      </c>
      <c r="AE43" t="str">
        <f t="shared" si="11"/>
        <v xml:space="preserve"> </v>
      </c>
      <c r="AF43">
        <f t="shared" si="1"/>
        <v>0</v>
      </c>
      <c r="AI43">
        <v>36</v>
      </c>
    </row>
    <row r="44" spans="2:35" ht="15" thickBot="1" x14ac:dyDescent="0.4">
      <c r="B44" s="631"/>
      <c r="C44" s="520">
        <v>10</v>
      </c>
      <c r="D44" s="289">
        <v>3</v>
      </c>
      <c r="E44" s="376"/>
      <c r="F44" s="362"/>
      <c r="G44" s="372"/>
      <c r="H44" s="372"/>
      <c r="I44" s="372"/>
      <c r="J44" s="373"/>
      <c r="K44" s="374"/>
      <c r="L44" s="374"/>
      <c r="M44" s="374"/>
      <c r="N44" s="375"/>
      <c r="O44" s="487"/>
      <c r="P44" s="509">
        <f t="shared" si="2"/>
        <v>0</v>
      </c>
      <c r="Q44" s="445">
        <f t="shared" si="3"/>
        <v>0</v>
      </c>
      <c r="R44" s="445">
        <f t="shared" si="4"/>
        <v>0</v>
      </c>
      <c r="S44" s="445">
        <f t="shared" si="5"/>
        <v>0</v>
      </c>
      <c r="T44" s="445">
        <f t="shared" si="6"/>
        <v>0</v>
      </c>
      <c r="U44" s="445">
        <f t="shared" si="7"/>
        <v>0</v>
      </c>
      <c r="V44" s="445">
        <f t="shared" si="8"/>
        <v>0</v>
      </c>
      <c r="W44" s="446">
        <f t="shared" si="9"/>
        <v>0</v>
      </c>
      <c r="X44">
        <f>IF(ISNA(VLOOKUP((CONCATENATE("Standing Long Jump-",I44,"-",Input!J44)),points11,2,)),0,VLOOKUP((CONCATENATE("Standing Long Jump-",I44,"-",Input!J44)),points11,2,))</f>
        <v>0</v>
      </c>
      <c r="Y44">
        <f>IF(ISNA(VLOOKUP((CONCATENATE("Speed Bounce-",I44,"-",Input!K44)),points11,2,)),0,VLOOKUP((CONCATENATE("Speed Bounce-",I44,"-",Input!K44)),points11,2,))</f>
        <v>0</v>
      </c>
      <c r="Z44">
        <f>IF(ISNA(VLOOKUP((CONCATENATE("Target Throw-",I44,"-",Input!L44)),points11,2,)),0,VLOOKUP((CONCATENATE("Target Throw-",I44,"-",Input!L44)),points11,2,))</f>
        <v>0</v>
      </c>
      <c r="AA44">
        <f>IF(ISNA(VLOOKUP((CONCATENATE("Hi-Stepper-",I44,"-",Input!M44)),points11,2,)),0,VLOOKUP((CONCATENATE("Hi-Stepper-",I44,"-",Input!M44)),points11,2,))</f>
        <v>0</v>
      </c>
      <c r="AB44">
        <f>IF(ISNA(VLOOKUP((CONCATENATE("Chest Push-",I44,"-",Input!N44)),points11,2,)),0,VLOOKUP((CONCATENATE("Chest Push-",I44,"-",Input!N44)),points11,2,))</f>
        <v>0</v>
      </c>
      <c r="AC44">
        <f>IF(ISNA(VLOOKUP((CONCATENATE("Javelin Throw-",I44,"-",Input!O44)),points11,2,)),0,VLOOKUP((CONCATENATE("Javelin Throw-",I44,"-",Input!O44)),points11,2,))</f>
        <v>0</v>
      </c>
      <c r="AD44">
        <f t="shared" si="10"/>
        <v>0</v>
      </c>
      <c r="AE44" t="str">
        <f t="shared" si="11"/>
        <v xml:space="preserve"> </v>
      </c>
      <c r="AF44">
        <f t="shared" si="1"/>
        <v>0</v>
      </c>
      <c r="AI44">
        <v>37</v>
      </c>
    </row>
    <row r="45" spans="2:35" ht="15" thickBot="1" x14ac:dyDescent="0.4">
      <c r="B45" s="631"/>
      <c r="C45" s="520">
        <v>11</v>
      </c>
      <c r="D45" s="289">
        <v>3</v>
      </c>
      <c r="E45" s="371"/>
      <c r="F45" s="362"/>
      <c r="G45" s="372"/>
      <c r="H45" s="372"/>
      <c r="I45" s="372"/>
      <c r="J45" s="373"/>
      <c r="K45" s="374"/>
      <c r="L45" s="374"/>
      <c r="M45" s="374"/>
      <c r="N45" s="375"/>
      <c r="O45" s="487"/>
      <c r="P45" s="509">
        <f t="shared" si="2"/>
        <v>0</v>
      </c>
      <c r="Q45" s="445">
        <f t="shared" si="3"/>
        <v>0</v>
      </c>
      <c r="R45" s="445">
        <f t="shared" si="4"/>
        <v>0</v>
      </c>
      <c r="S45" s="445">
        <f t="shared" si="5"/>
        <v>0</v>
      </c>
      <c r="T45" s="445">
        <f t="shared" si="6"/>
        <v>0</v>
      </c>
      <c r="U45" s="445">
        <f t="shared" si="7"/>
        <v>0</v>
      </c>
      <c r="V45" s="445">
        <f t="shared" si="8"/>
        <v>0</v>
      </c>
      <c r="W45" s="446">
        <f t="shared" si="9"/>
        <v>0</v>
      </c>
      <c r="X45">
        <f>IF(ISNA(VLOOKUP((CONCATENATE("Standing Long Jump-",I45,"-",Input!J45)),points11,2,)),0,VLOOKUP((CONCATENATE("Standing Long Jump-",I45,"-",Input!J45)),points11,2,))</f>
        <v>0</v>
      </c>
      <c r="Y45">
        <f>IF(ISNA(VLOOKUP((CONCATENATE("Speed Bounce-",I45,"-",Input!K45)),points11,2,)),0,VLOOKUP((CONCATENATE("Speed Bounce-",I45,"-",Input!K45)),points11,2,))</f>
        <v>0</v>
      </c>
      <c r="Z45">
        <f>IF(ISNA(VLOOKUP((CONCATENATE("Target Throw-",I45,"-",Input!L45)),points11,2,)),0,VLOOKUP((CONCATENATE("Target Throw-",I45,"-",Input!L45)),points11,2,))</f>
        <v>0</v>
      </c>
      <c r="AA45">
        <f>IF(ISNA(VLOOKUP((CONCATENATE("Hi-Stepper-",I45,"-",Input!M45)),points11,2,)),0,VLOOKUP((CONCATENATE("Hi-Stepper-",I45,"-",Input!M45)),points11,2,))</f>
        <v>0</v>
      </c>
      <c r="AB45">
        <f>IF(ISNA(VLOOKUP((CONCATENATE("Chest Push-",I45,"-",Input!N45)),points11,2,)),0,VLOOKUP((CONCATENATE("Chest Push-",I45,"-",Input!N45)),points11,2,))</f>
        <v>0</v>
      </c>
      <c r="AC45">
        <f>IF(ISNA(VLOOKUP((CONCATENATE("Javelin Throw-",I45,"-",Input!O45)),points11,2,)),0,VLOOKUP((CONCATENATE("Javelin Throw-",I45,"-",Input!O45)),points11,2,))</f>
        <v>0</v>
      </c>
      <c r="AD45">
        <f t="shared" si="10"/>
        <v>0</v>
      </c>
      <c r="AE45" t="str">
        <f t="shared" si="11"/>
        <v xml:space="preserve"> </v>
      </c>
      <c r="AF45">
        <f t="shared" si="1"/>
        <v>0</v>
      </c>
      <c r="AI45">
        <v>38</v>
      </c>
    </row>
    <row r="46" spans="2:35" ht="15" thickBot="1" x14ac:dyDescent="0.4">
      <c r="B46" s="631"/>
      <c r="C46" s="520">
        <v>12</v>
      </c>
      <c r="D46" s="289">
        <v>3</v>
      </c>
      <c r="E46" s="444"/>
      <c r="F46" s="395"/>
      <c r="G46" s="435"/>
      <c r="H46" s="435"/>
      <c r="I46" s="435"/>
      <c r="J46" s="436"/>
      <c r="K46" s="437"/>
      <c r="L46" s="437"/>
      <c r="M46" s="437"/>
      <c r="N46" s="438"/>
      <c r="O46" s="488"/>
      <c r="P46" s="510">
        <f t="shared" si="2"/>
        <v>0</v>
      </c>
      <c r="Q46" s="447">
        <f t="shared" si="3"/>
        <v>0</v>
      </c>
      <c r="R46" s="447">
        <f t="shared" si="4"/>
        <v>0</v>
      </c>
      <c r="S46" s="447">
        <f t="shared" si="5"/>
        <v>0</v>
      </c>
      <c r="T46" s="447">
        <f t="shared" si="6"/>
        <v>0</v>
      </c>
      <c r="U46" s="447">
        <f t="shared" si="7"/>
        <v>0</v>
      </c>
      <c r="V46" s="447">
        <f t="shared" si="8"/>
        <v>0</v>
      </c>
      <c r="W46" s="448">
        <f t="shared" si="9"/>
        <v>0</v>
      </c>
      <c r="X46">
        <f>IF(ISNA(VLOOKUP((CONCATENATE("Standing Long Jump-",I46,"-",Input!J46)),points11,2,)),0,VLOOKUP((CONCATENATE("Standing Long Jump-",I46,"-",Input!J46)),points11,2,))</f>
        <v>0</v>
      </c>
      <c r="Y46">
        <f>IF(ISNA(VLOOKUP((CONCATENATE("Speed Bounce-",I46,"-",Input!K46)),points11,2,)),0,VLOOKUP((CONCATENATE("Speed Bounce-",I46,"-",Input!K46)),points11,2,))</f>
        <v>0</v>
      </c>
      <c r="Z46">
        <f>IF(ISNA(VLOOKUP((CONCATENATE("Target Throw-",I46,"-",Input!L46)),points11,2,)),0,VLOOKUP((CONCATENATE("Target Throw-",I46,"-",Input!L46)),points11,2,))</f>
        <v>0</v>
      </c>
      <c r="AA46">
        <f>IF(ISNA(VLOOKUP((CONCATENATE("Hi-Stepper-",I46,"-",Input!M46)),points11,2,)),0,VLOOKUP((CONCATENATE("Hi-Stepper-",I46,"-",Input!M46)),points11,2,))</f>
        <v>0</v>
      </c>
      <c r="AB46">
        <f>IF(ISNA(VLOOKUP((CONCATENATE("Chest Push-",I46,"-",Input!N46)),points11,2,)),0,VLOOKUP((CONCATENATE("Chest Push-",I46,"-",Input!N46)),points11,2,))</f>
        <v>0</v>
      </c>
      <c r="AC46">
        <f>IF(ISNA(VLOOKUP((CONCATENATE("Javelin Throw-",I46,"-",Input!O46)),points11,2,)),0,VLOOKUP((CONCATENATE("Javelin Throw-",I46,"-",Input!O46)),points11,2,))</f>
        <v>0</v>
      </c>
      <c r="AD46">
        <f t="shared" si="10"/>
        <v>0</v>
      </c>
      <c r="AE46" t="str">
        <f t="shared" si="11"/>
        <v xml:space="preserve"> </v>
      </c>
      <c r="AF46">
        <f t="shared" si="1"/>
        <v>0</v>
      </c>
      <c r="AI46">
        <v>39</v>
      </c>
    </row>
    <row r="47" spans="2:35" ht="15" thickBot="1" x14ac:dyDescent="0.4">
      <c r="B47" s="631" t="str">
        <f>'Competition Menu'!C14</f>
        <v>Team 4</v>
      </c>
      <c r="C47" s="520">
        <v>1</v>
      </c>
      <c r="D47" s="289">
        <v>4</v>
      </c>
      <c r="E47" s="406"/>
      <c r="F47" s="407"/>
      <c r="G47" s="408"/>
      <c r="H47" s="408"/>
      <c r="I47" s="408"/>
      <c r="J47" s="409"/>
      <c r="K47" s="410"/>
      <c r="L47" s="410"/>
      <c r="M47" s="410"/>
      <c r="N47" s="411"/>
      <c r="O47" s="489"/>
      <c r="P47" s="511">
        <f t="shared" si="2"/>
        <v>0</v>
      </c>
      <c r="Q47" s="449">
        <f t="shared" si="3"/>
        <v>0</v>
      </c>
      <c r="R47" s="449">
        <f t="shared" si="4"/>
        <v>0</v>
      </c>
      <c r="S47" s="449">
        <f t="shared" si="5"/>
        <v>0</v>
      </c>
      <c r="T47" s="449">
        <f t="shared" si="6"/>
        <v>0</v>
      </c>
      <c r="U47" s="449">
        <f t="shared" si="7"/>
        <v>0</v>
      </c>
      <c r="V47" s="449">
        <f t="shared" si="8"/>
        <v>0</v>
      </c>
      <c r="W47" s="450">
        <f t="shared" si="9"/>
        <v>0</v>
      </c>
      <c r="X47">
        <f>IF(ISNA(VLOOKUP((CONCATENATE("Standing Long Jump-",I47,"-",Input!J47)),points11,2,)),0,VLOOKUP((CONCATENATE("Standing Long Jump-",I47,"-",Input!J47)),points11,2,))</f>
        <v>0</v>
      </c>
      <c r="Y47">
        <f>IF(ISNA(VLOOKUP((CONCATENATE("Speed Bounce-",I47,"-",Input!K47)),points11,2,)),0,VLOOKUP((CONCATENATE("Speed Bounce-",I47,"-",Input!K47)),points11,2,))</f>
        <v>0</v>
      </c>
      <c r="Z47">
        <f>IF(ISNA(VLOOKUP((CONCATENATE("Target Throw-",I47,"-",Input!L47)),points11,2,)),0,VLOOKUP((CONCATENATE("Target Throw-",I47,"-",Input!L47)),points11,2,))</f>
        <v>0</v>
      </c>
      <c r="AA47">
        <f>IF(ISNA(VLOOKUP((CONCATENATE("Hi-Stepper-",I47,"-",Input!M47)),points11,2,)),0,VLOOKUP((CONCATENATE("Hi-Stepper-",I47,"-",Input!M47)),points11,2,))</f>
        <v>0</v>
      </c>
      <c r="AB47">
        <f>IF(ISNA(VLOOKUP((CONCATENATE("Chest Push-",I47,"-",Input!N47)),points11,2,)),0,VLOOKUP((CONCATENATE("Chest Push-",I47,"-",Input!N47)),points11,2,))</f>
        <v>0</v>
      </c>
      <c r="AC47">
        <f>IF(ISNA(VLOOKUP((CONCATENATE("Javelin Throw-",I47,"-",Input!O47)),points11,2,)),0,VLOOKUP((CONCATENATE("Javelin Throw-",I47,"-",Input!O47)),points11,2,))</f>
        <v>0</v>
      </c>
      <c r="AD47">
        <f t="shared" si="10"/>
        <v>0</v>
      </c>
      <c r="AE47" t="str">
        <f t="shared" si="11"/>
        <v xml:space="preserve"> </v>
      </c>
      <c r="AF47">
        <f t="shared" si="1"/>
        <v>0</v>
      </c>
      <c r="AI47">
        <v>41</v>
      </c>
    </row>
    <row r="48" spans="2:35" ht="15" thickBot="1" x14ac:dyDescent="0.4">
      <c r="B48" s="631"/>
      <c r="C48" s="520">
        <v>2</v>
      </c>
      <c r="D48" s="289">
        <v>4</v>
      </c>
      <c r="E48" s="376"/>
      <c r="F48" s="362"/>
      <c r="G48" s="372"/>
      <c r="H48" s="372"/>
      <c r="I48" s="372"/>
      <c r="J48" s="373"/>
      <c r="K48" s="374"/>
      <c r="L48" s="374"/>
      <c r="M48" s="374"/>
      <c r="N48" s="375"/>
      <c r="O48" s="487"/>
      <c r="P48" s="509">
        <f t="shared" si="2"/>
        <v>0</v>
      </c>
      <c r="Q48" s="445">
        <f t="shared" si="3"/>
        <v>0</v>
      </c>
      <c r="R48" s="445">
        <f t="shared" si="4"/>
        <v>0</v>
      </c>
      <c r="S48" s="445">
        <f t="shared" si="5"/>
        <v>0</v>
      </c>
      <c r="T48" s="445">
        <f t="shared" si="6"/>
        <v>0</v>
      </c>
      <c r="U48" s="445">
        <f t="shared" si="7"/>
        <v>0</v>
      </c>
      <c r="V48" s="445">
        <f t="shared" si="8"/>
        <v>0</v>
      </c>
      <c r="W48" s="446">
        <f t="shared" si="9"/>
        <v>0</v>
      </c>
      <c r="X48">
        <f>IF(ISNA(VLOOKUP((CONCATENATE("Standing Long Jump-",I48,"-",Input!J48)),points11,2,)),0,VLOOKUP((CONCATENATE("Standing Long Jump-",I48,"-",Input!J48)),points11,2,))</f>
        <v>0</v>
      </c>
      <c r="Y48">
        <f>IF(ISNA(VLOOKUP((CONCATENATE("Speed Bounce-",I48,"-",Input!K48)),points11,2,)),0,VLOOKUP((CONCATENATE("Speed Bounce-",I48,"-",Input!K48)),points11,2,))</f>
        <v>0</v>
      </c>
      <c r="Z48">
        <f>IF(ISNA(VLOOKUP((CONCATENATE("Target Throw-",I48,"-",Input!L48)),points11,2,)),0,VLOOKUP((CONCATENATE("Target Throw-",I48,"-",Input!L48)),points11,2,))</f>
        <v>0</v>
      </c>
      <c r="AA48">
        <f>IF(ISNA(VLOOKUP((CONCATENATE("Hi-Stepper-",I48,"-",Input!M48)),points11,2,)),0,VLOOKUP((CONCATENATE("Hi-Stepper-",I48,"-",Input!M48)),points11,2,))</f>
        <v>0</v>
      </c>
      <c r="AB48">
        <f>IF(ISNA(VLOOKUP((CONCATENATE("Chest Push-",I48,"-",Input!N48)),points11,2,)),0,VLOOKUP((CONCATENATE("Chest Push-",I48,"-",Input!N48)),points11,2,))</f>
        <v>0</v>
      </c>
      <c r="AC48">
        <f>IF(ISNA(VLOOKUP((CONCATENATE("Javelin Throw-",I48,"-",Input!O48)),points11,2,)),0,VLOOKUP((CONCATENATE("Javelin Throw-",I48,"-",Input!O48)),points11,2,))</f>
        <v>0</v>
      </c>
      <c r="AD48">
        <f t="shared" si="10"/>
        <v>0</v>
      </c>
      <c r="AE48" t="str">
        <f t="shared" si="11"/>
        <v xml:space="preserve"> </v>
      </c>
      <c r="AF48">
        <f t="shared" si="1"/>
        <v>0</v>
      </c>
      <c r="AI48">
        <v>42</v>
      </c>
    </row>
    <row r="49" spans="2:35" ht="15" thickBot="1" x14ac:dyDescent="0.4">
      <c r="B49" s="631"/>
      <c r="C49" s="520">
        <v>3</v>
      </c>
      <c r="D49" s="289">
        <v>4</v>
      </c>
      <c r="E49" s="371"/>
      <c r="F49" s="362"/>
      <c r="G49" s="372"/>
      <c r="H49" s="372"/>
      <c r="I49" s="372"/>
      <c r="J49" s="373"/>
      <c r="K49" s="374"/>
      <c r="L49" s="374"/>
      <c r="M49" s="374"/>
      <c r="N49" s="375"/>
      <c r="O49" s="487"/>
      <c r="P49" s="509">
        <f t="shared" si="2"/>
        <v>0</v>
      </c>
      <c r="Q49" s="445">
        <f t="shared" si="3"/>
        <v>0</v>
      </c>
      <c r="R49" s="445">
        <f t="shared" si="4"/>
        <v>0</v>
      </c>
      <c r="S49" s="445">
        <f t="shared" si="5"/>
        <v>0</v>
      </c>
      <c r="T49" s="445">
        <f t="shared" si="6"/>
        <v>0</v>
      </c>
      <c r="U49" s="445">
        <f t="shared" si="7"/>
        <v>0</v>
      </c>
      <c r="V49" s="445">
        <f t="shared" si="8"/>
        <v>0</v>
      </c>
      <c r="W49" s="446">
        <f t="shared" si="9"/>
        <v>0</v>
      </c>
      <c r="X49">
        <f>IF(ISNA(VLOOKUP((CONCATENATE("Standing Long Jump-",I49,"-",Input!J49)),points11,2,)),0,VLOOKUP((CONCATENATE("Standing Long Jump-",I49,"-",Input!J49)),points11,2,))</f>
        <v>0</v>
      </c>
      <c r="Y49">
        <f>IF(ISNA(VLOOKUP((CONCATENATE("Speed Bounce-",I49,"-",Input!K49)),points11,2,)),0,VLOOKUP((CONCATENATE("Speed Bounce-",I49,"-",Input!K49)),points11,2,))</f>
        <v>0</v>
      </c>
      <c r="Z49">
        <f>IF(ISNA(VLOOKUP((CONCATENATE("Target Throw-",I49,"-",Input!L49)),points11,2,)),0,VLOOKUP((CONCATENATE("Target Throw-",I49,"-",Input!L49)),points11,2,))</f>
        <v>0</v>
      </c>
      <c r="AA49">
        <f>IF(ISNA(VLOOKUP((CONCATENATE("Hi-Stepper-",I49,"-",Input!M49)),points11,2,)),0,VLOOKUP((CONCATENATE("Hi-Stepper-",I49,"-",Input!M49)),points11,2,))</f>
        <v>0</v>
      </c>
      <c r="AB49">
        <f>IF(ISNA(VLOOKUP((CONCATENATE("Chest Push-",I49,"-",Input!N49)),points11,2,)),0,VLOOKUP((CONCATENATE("Chest Push-",I49,"-",Input!N49)),points11,2,))</f>
        <v>0</v>
      </c>
      <c r="AC49">
        <f>IF(ISNA(VLOOKUP((CONCATENATE("Javelin Throw-",I49,"-",Input!O49)),points11,2,)),0,VLOOKUP((CONCATENATE("Javelin Throw-",I49,"-",Input!O49)),points11,2,))</f>
        <v>0</v>
      </c>
      <c r="AD49">
        <f t="shared" si="10"/>
        <v>0</v>
      </c>
      <c r="AE49" t="str">
        <f t="shared" si="11"/>
        <v xml:space="preserve"> </v>
      </c>
      <c r="AF49">
        <f t="shared" si="1"/>
        <v>0</v>
      </c>
      <c r="AI49">
        <v>43</v>
      </c>
    </row>
    <row r="50" spans="2:35" ht="15" thickBot="1" x14ac:dyDescent="0.4">
      <c r="B50" s="631"/>
      <c r="C50" s="520">
        <v>4</v>
      </c>
      <c r="D50" s="289">
        <v>4</v>
      </c>
      <c r="E50" s="371"/>
      <c r="F50" s="362"/>
      <c r="G50" s="372"/>
      <c r="H50" s="372"/>
      <c r="I50" s="372"/>
      <c r="J50" s="378"/>
      <c r="K50" s="379"/>
      <c r="L50" s="379"/>
      <c r="M50" s="379"/>
      <c r="N50" s="375"/>
      <c r="O50" s="487"/>
      <c r="P50" s="509">
        <f t="shared" si="2"/>
        <v>0</v>
      </c>
      <c r="Q50" s="445">
        <f t="shared" si="3"/>
        <v>0</v>
      </c>
      <c r="R50" s="445">
        <f t="shared" si="4"/>
        <v>0</v>
      </c>
      <c r="S50" s="445">
        <f t="shared" si="5"/>
        <v>0</v>
      </c>
      <c r="T50" s="445">
        <f t="shared" si="6"/>
        <v>0</v>
      </c>
      <c r="U50" s="445">
        <f t="shared" si="7"/>
        <v>0</v>
      </c>
      <c r="V50" s="445">
        <f t="shared" si="8"/>
        <v>0</v>
      </c>
      <c r="W50" s="446">
        <f t="shared" si="9"/>
        <v>0</v>
      </c>
      <c r="X50">
        <f>IF(ISNA(VLOOKUP((CONCATENATE("Standing Long Jump-",I50,"-",Input!J50)),points11,2,)),0,VLOOKUP((CONCATENATE("Standing Long Jump-",I50,"-",Input!J50)),points11,2,))</f>
        <v>0</v>
      </c>
      <c r="Y50">
        <f>IF(ISNA(VLOOKUP((CONCATENATE("Speed Bounce-",I50,"-",Input!K50)),points11,2,)),0,VLOOKUP((CONCATENATE("Speed Bounce-",I50,"-",Input!K50)),points11,2,))</f>
        <v>0</v>
      </c>
      <c r="Z50">
        <f>IF(ISNA(VLOOKUP((CONCATENATE("Target Throw-",I50,"-",Input!L50)),points11,2,)),0,VLOOKUP((CONCATENATE("Target Throw-",I50,"-",Input!L50)),points11,2,))</f>
        <v>0</v>
      </c>
      <c r="AA50">
        <f>IF(ISNA(VLOOKUP((CONCATENATE("Hi-Stepper-",I50,"-",Input!M50)),points11,2,)),0,VLOOKUP((CONCATENATE("Hi-Stepper-",I50,"-",Input!M50)),points11,2,))</f>
        <v>0</v>
      </c>
      <c r="AB50">
        <f>IF(ISNA(VLOOKUP((CONCATENATE("Chest Push-",I50,"-",Input!N50)),points11,2,)),0,VLOOKUP((CONCATENATE("Chest Push-",I50,"-",Input!N50)),points11,2,))</f>
        <v>0</v>
      </c>
      <c r="AC50">
        <f>IF(ISNA(VLOOKUP((CONCATENATE("Javelin Throw-",I50,"-",Input!O50)),points11,2,)),0,VLOOKUP((CONCATENATE("Javelin Throw-",I50,"-",Input!O50)),points11,2,))</f>
        <v>0</v>
      </c>
      <c r="AD50">
        <f t="shared" si="10"/>
        <v>0</v>
      </c>
      <c r="AE50" t="str">
        <f t="shared" si="11"/>
        <v xml:space="preserve"> </v>
      </c>
      <c r="AF50">
        <f t="shared" si="1"/>
        <v>0</v>
      </c>
      <c r="AI50">
        <v>44</v>
      </c>
    </row>
    <row r="51" spans="2:35" ht="15" thickBot="1" x14ac:dyDescent="0.4">
      <c r="B51" s="631"/>
      <c r="C51" s="520">
        <v>5</v>
      </c>
      <c r="D51" s="289">
        <v>4</v>
      </c>
      <c r="E51" s="376"/>
      <c r="F51" s="362"/>
      <c r="G51" s="372"/>
      <c r="H51" s="372"/>
      <c r="I51" s="372"/>
      <c r="J51" s="373"/>
      <c r="K51" s="374"/>
      <c r="L51" s="374"/>
      <c r="M51" s="374"/>
      <c r="N51" s="375"/>
      <c r="O51" s="487"/>
      <c r="P51" s="509">
        <f t="shared" si="2"/>
        <v>0</v>
      </c>
      <c r="Q51" s="445">
        <f t="shared" si="3"/>
        <v>0</v>
      </c>
      <c r="R51" s="445">
        <f t="shared" si="4"/>
        <v>0</v>
      </c>
      <c r="S51" s="445">
        <f t="shared" si="5"/>
        <v>0</v>
      </c>
      <c r="T51" s="445">
        <f t="shared" si="6"/>
        <v>0</v>
      </c>
      <c r="U51" s="445">
        <f t="shared" si="7"/>
        <v>0</v>
      </c>
      <c r="V51" s="445">
        <f t="shared" si="8"/>
        <v>0</v>
      </c>
      <c r="W51" s="446">
        <f t="shared" si="9"/>
        <v>0</v>
      </c>
      <c r="X51">
        <f>IF(ISNA(VLOOKUP((CONCATENATE("Standing Long Jump-",I51,"-",Input!J51)),points11,2,)),0,VLOOKUP((CONCATENATE("Standing Long Jump-",I51,"-",Input!J51)),points11,2,))</f>
        <v>0</v>
      </c>
      <c r="Y51">
        <f>IF(ISNA(VLOOKUP((CONCATENATE("Speed Bounce-",I51,"-",Input!K51)),points11,2,)),0,VLOOKUP((CONCATENATE("Speed Bounce-",I51,"-",Input!K51)),points11,2,))</f>
        <v>0</v>
      </c>
      <c r="Z51">
        <f>IF(ISNA(VLOOKUP((CONCATENATE("Target Throw-",I51,"-",Input!L51)),points11,2,)),0,VLOOKUP((CONCATENATE("Target Throw-",I51,"-",Input!L51)),points11,2,))</f>
        <v>0</v>
      </c>
      <c r="AA51">
        <f>IF(ISNA(VLOOKUP((CONCATENATE("Hi-Stepper-",I51,"-",Input!M51)),points11,2,)),0,VLOOKUP((CONCATENATE("Hi-Stepper-",I51,"-",Input!M51)),points11,2,))</f>
        <v>0</v>
      </c>
      <c r="AB51">
        <f>IF(ISNA(VLOOKUP((CONCATENATE("Chest Push-",I51,"-",Input!N51)),points11,2,)),0,VLOOKUP((CONCATENATE("Chest Push-",I51,"-",Input!N51)),points11,2,))</f>
        <v>0</v>
      </c>
      <c r="AC51">
        <f>IF(ISNA(VLOOKUP((CONCATENATE("Javelin Throw-",I51,"-",Input!O51)),points11,2,)),0,VLOOKUP((CONCATENATE("Javelin Throw-",I51,"-",Input!O51)),points11,2,))</f>
        <v>0</v>
      </c>
      <c r="AD51">
        <f t="shared" si="10"/>
        <v>0</v>
      </c>
      <c r="AE51" t="str">
        <f t="shared" si="11"/>
        <v xml:space="preserve"> </v>
      </c>
      <c r="AF51">
        <f t="shared" si="1"/>
        <v>0</v>
      </c>
      <c r="AI51">
        <v>45</v>
      </c>
    </row>
    <row r="52" spans="2:35" ht="15" thickBot="1" x14ac:dyDescent="0.4">
      <c r="B52" s="631"/>
      <c r="C52" s="520">
        <v>6</v>
      </c>
      <c r="D52" s="289">
        <v>4</v>
      </c>
      <c r="E52" s="376"/>
      <c r="F52" s="362"/>
      <c r="G52" s="372"/>
      <c r="H52" s="372"/>
      <c r="I52" s="372"/>
      <c r="J52" s="373"/>
      <c r="K52" s="374"/>
      <c r="L52" s="374"/>
      <c r="M52" s="374"/>
      <c r="N52" s="380"/>
      <c r="O52" s="492"/>
      <c r="P52" s="509">
        <f t="shared" si="2"/>
        <v>0</v>
      </c>
      <c r="Q52" s="445">
        <f t="shared" si="3"/>
        <v>0</v>
      </c>
      <c r="R52" s="445">
        <f t="shared" si="4"/>
        <v>0</v>
      </c>
      <c r="S52" s="445">
        <f t="shared" si="5"/>
        <v>0</v>
      </c>
      <c r="T52" s="445">
        <f t="shared" si="6"/>
        <v>0</v>
      </c>
      <c r="U52" s="445">
        <f t="shared" si="7"/>
        <v>0</v>
      </c>
      <c r="V52" s="445">
        <f t="shared" si="8"/>
        <v>0</v>
      </c>
      <c r="W52" s="446">
        <f t="shared" si="9"/>
        <v>0</v>
      </c>
      <c r="X52">
        <f>IF(ISNA(VLOOKUP((CONCATENATE("Standing Long Jump-",I52,"-",Input!J52)),points11,2,)),0,VLOOKUP((CONCATENATE("Standing Long Jump-",I52,"-",Input!J52)),points11,2,))</f>
        <v>0</v>
      </c>
      <c r="Y52">
        <f>IF(ISNA(VLOOKUP((CONCATENATE("Speed Bounce-",I52,"-",Input!K52)),points11,2,)),0,VLOOKUP((CONCATENATE("Speed Bounce-",I52,"-",Input!K52)),points11,2,))</f>
        <v>0</v>
      </c>
      <c r="Z52">
        <f>IF(ISNA(VLOOKUP((CONCATENATE("Target Throw-",I52,"-",Input!L52)),points11,2,)),0,VLOOKUP((CONCATENATE("Target Throw-",I52,"-",Input!L52)),points11,2,))</f>
        <v>0</v>
      </c>
      <c r="AA52">
        <f>IF(ISNA(VLOOKUP((CONCATENATE("Hi-Stepper-",I52,"-",Input!M52)),points11,2,)),0,VLOOKUP((CONCATENATE("Hi-Stepper-",I52,"-",Input!M52)),points11,2,))</f>
        <v>0</v>
      </c>
      <c r="AB52">
        <f>IF(ISNA(VLOOKUP((CONCATENATE("Chest Push-",I52,"-",Input!N52)),points11,2,)),0,VLOOKUP((CONCATENATE("Chest Push-",I52,"-",Input!N52)),points11,2,))</f>
        <v>0</v>
      </c>
      <c r="AC52">
        <f>IF(ISNA(VLOOKUP((CONCATENATE("Javelin Throw-",I52,"-",Input!O52)),points11,2,)),0,VLOOKUP((CONCATENATE("Javelin Throw-",I52,"-",Input!O52)),points11,2,))</f>
        <v>0</v>
      </c>
      <c r="AD52">
        <f t="shared" si="10"/>
        <v>0</v>
      </c>
      <c r="AE52" t="str">
        <f t="shared" si="11"/>
        <v xml:space="preserve"> </v>
      </c>
      <c r="AF52">
        <f t="shared" si="1"/>
        <v>0</v>
      </c>
      <c r="AI52">
        <v>46</v>
      </c>
    </row>
    <row r="53" spans="2:35" ht="15" thickBot="1" x14ac:dyDescent="0.4">
      <c r="B53" s="631"/>
      <c r="C53" s="520">
        <v>7</v>
      </c>
      <c r="D53" s="289">
        <v>4</v>
      </c>
      <c r="E53" s="376"/>
      <c r="F53" s="362"/>
      <c r="G53" s="372"/>
      <c r="H53" s="372"/>
      <c r="I53" s="372"/>
      <c r="J53" s="373"/>
      <c r="K53" s="374"/>
      <c r="L53" s="374"/>
      <c r="M53" s="374"/>
      <c r="N53" s="380"/>
      <c r="O53" s="492"/>
      <c r="P53" s="509">
        <f t="shared" si="2"/>
        <v>0</v>
      </c>
      <c r="Q53" s="445">
        <f t="shared" si="3"/>
        <v>0</v>
      </c>
      <c r="R53" s="445">
        <f t="shared" si="4"/>
        <v>0</v>
      </c>
      <c r="S53" s="445">
        <f t="shared" si="5"/>
        <v>0</v>
      </c>
      <c r="T53" s="445">
        <f t="shared" si="6"/>
        <v>0</v>
      </c>
      <c r="U53" s="445">
        <f t="shared" si="7"/>
        <v>0</v>
      </c>
      <c r="V53" s="445">
        <f t="shared" si="8"/>
        <v>0</v>
      </c>
      <c r="W53" s="446">
        <f t="shared" si="9"/>
        <v>0</v>
      </c>
      <c r="X53">
        <f>IF(ISNA(VLOOKUP((CONCATENATE("Standing Long Jump-",I53,"-",Input!J53)),points11,2,)),0,VLOOKUP((CONCATENATE("Standing Long Jump-",I53,"-",Input!J53)),points11,2,))</f>
        <v>0</v>
      </c>
      <c r="Y53">
        <f>IF(ISNA(VLOOKUP((CONCATENATE("Speed Bounce-",I53,"-",Input!K53)),points11,2,)),0,VLOOKUP((CONCATENATE("Speed Bounce-",I53,"-",Input!K53)),points11,2,))</f>
        <v>0</v>
      </c>
      <c r="Z53">
        <f>IF(ISNA(VLOOKUP((CONCATENATE("Target Throw-",I53,"-",Input!L53)),points11,2,)),0,VLOOKUP((CONCATENATE("Target Throw-",I53,"-",Input!L53)),points11,2,))</f>
        <v>0</v>
      </c>
      <c r="AA53">
        <f>IF(ISNA(VLOOKUP((CONCATENATE("Hi-Stepper-",I53,"-",Input!M53)),points11,2,)),0,VLOOKUP((CONCATENATE("Hi-Stepper-",I53,"-",Input!M53)),points11,2,))</f>
        <v>0</v>
      </c>
      <c r="AB53">
        <f>IF(ISNA(VLOOKUP((CONCATENATE("Chest Push-",I53,"-",Input!N53)),points11,2,)),0,VLOOKUP((CONCATENATE("Chest Push-",I53,"-",Input!N53)),points11,2,))</f>
        <v>0</v>
      </c>
      <c r="AC53">
        <f>IF(ISNA(VLOOKUP((CONCATENATE("Javelin Throw-",I53,"-",Input!O53)),points11,2,)),0,VLOOKUP((CONCATENATE("Javelin Throw-",I53,"-",Input!O53)),points11,2,))</f>
        <v>0</v>
      </c>
      <c r="AD53">
        <f t="shared" si="10"/>
        <v>0</v>
      </c>
      <c r="AE53" t="str">
        <f t="shared" si="11"/>
        <v xml:space="preserve"> </v>
      </c>
      <c r="AF53">
        <f t="shared" si="1"/>
        <v>0</v>
      </c>
      <c r="AI53">
        <v>47</v>
      </c>
    </row>
    <row r="54" spans="2:35" ht="15" thickBot="1" x14ac:dyDescent="0.4">
      <c r="B54" s="631"/>
      <c r="C54" s="520">
        <v>8</v>
      </c>
      <c r="D54" s="289">
        <v>4</v>
      </c>
      <c r="E54" s="371"/>
      <c r="F54" s="362"/>
      <c r="G54" s="372"/>
      <c r="H54" s="372"/>
      <c r="I54" s="372"/>
      <c r="J54" s="381"/>
      <c r="K54" s="375"/>
      <c r="L54" s="375"/>
      <c r="M54" s="375"/>
      <c r="N54" s="380"/>
      <c r="O54" s="492"/>
      <c r="P54" s="509">
        <f t="shared" si="2"/>
        <v>0</v>
      </c>
      <c r="Q54" s="445">
        <f t="shared" si="3"/>
        <v>0</v>
      </c>
      <c r="R54" s="445">
        <f t="shared" si="4"/>
        <v>0</v>
      </c>
      <c r="S54" s="445">
        <f t="shared" si="5"/>
        <v>0</v>
      </c>
      <c r="T54" s="445">
        <f t="shared" si="6"/>
        <v>0</v>
      </c>
      <c r="U54" s="445">
        <f t="shared" si="7"/>
        <v>0</v>
      </c>
      <c r="V54" s="445">
        <f t="shared" si="8"/>
        <v>0</v>
      </c>
      <c r="W54" s="446">
        <f t="shared" si="9"/>
        <v>0</v>
      </c>
      <c r="X54">
        <f>IF(ISNA(VLOOKUP((CONCATENATE("Standing Long Jump-",I54,"-",Input!J54)),points11,2,)),0,VLOOKUP((CONCATENATE("Standing Long Jump-",I54,"-",Input!J54)),points11,2,))</f>
        <v>0</v>
      </c>
      <c r="Y54">
        <f>IF(ISNA(VLOOKUP((CONCATENATE("Speed Bounce-",I54,"-",Input!K54)),points11,2,)),0,VLOOKUP((CONCATENATE("Speed Bounce-",I54,"-",Input!K54)),points11,2,))</f>
        <v>0</v>
      </c>
      <c r="Z54">
        <f>IF(ISNA(VLOOKUP((CONCATENATE("Target Throw-",I54,"-",Input!L54)),points11,2,)),0,VLOOKUP((CONCATENATE("Target Throw-",I54,"-",Input!L54)),points11,2,))</f>
        <v>0</v>
      </c>
      <c r="AA54">
        <f>IF(ISNA(VLOOKUP((CONCATENATE("Hi-Stepper-",I54,"-",Input!M54)),points11,2,)),0,VLOOKUP((CONCATENATE("Hi-Stepper-",I54,"-",Input!M54)),points11,2,))</f>
        <v>0</v>
      </c>
      <c r="AB54">
        <f>IF(ISNA(VLOOKUP((CONCATENATE("Chest Push-",I54,"-",Input!N54)),points11,2,)),0,VLOOKUP((CONCATENATE("Chest Push-",I54,"-",Input!N54)),points11,2,))</f>
        <v>0</v>
      </c>
      <c r="AC54">
        <f>IF(ISNA(VLOOKUP((CONCATENATE("Javelin Throw-",I54,"-",Input!O54)),points11,2,)),0,VLOOKUP((CONCATENATE("Javelin Throw-",I54,"-",Input!O54)),points11,2,))</f>
        <v>0</v>
      </c>
      <c r="AD54">
        <f t="shared" si="10"/>
        <v>0</v>
      </c>
      <c r="AE54" t="str">
        <f t="shared" si="11"/>
        <v xml:space="preserve"> </v>
      </c>
      <c r="AF54">
        <f t="shared" si="1"/>
        <v>0</v>
      </c>
      <c r="AI54">
        <v>48</v>
      </c>
    </row>
    <row r="55" spans="2:35" ht="15" thickBot="1" x14ac:dyDescent="0.4">
      <c r="B55" s="631"/>
      <c r="C55" s="520">
        <v>9</v>
      </c>
      <c r="D55" s="289">
        <v>4</v>
      </c>
      <c r="E55" s="376"/>
      <c r="F55" s="362"/>
      <c r="G55" s="377"/>
      <c r="H55" s="377"/>
      <c r="I55" s="377"/>
      <c r="J55" s="373"/>
      <c r="K55" s="374"/>
      <c r="L55" s="374"/>
      <c r="M55" s="374"/>
      <c r="N55" s="380"/>
      <c r="O55" s="492"/>
      <c r="P55" s="509">
        <f t="shared" si="2"/>
        <v>0</v>
      </c>
      <c r="Q55" s="445">
        <f t="shared" si="3"/>
        <v>0</v>
      </c>
      <c r="R55" s="445">
        <f t="shared" si="4"/>
        <v>0</v>
      </c>
      <c r="S55" s="445">
        <f t="shared" si="5"/>
        <v>0</v>
      </c>
      <c r="T55" s="445">
        <f t="shared" si="6"/>
        <v>0</v>
      </c>
      <c r="U55" s="445">
        <f t="shared" si="7"/>
        <v>0</v>
      </c>
      <c r="V55" s="445">
        <f t="shared" si="8"/>
        <v>0</v>
      </c>
      <c r="W55" s="446">
        <f t="shared" si="9"/>
        <v>0</v>
      </c>
      <c r="X55">
        <f>IF(ISNA(VLOOKUP((CONCATENATE("Standing Long Jump-",I55,"-",Input!J55)),points11,2,)),0,VLOOKUP((CONCATENATE("Standing Long Jump-",I55,"-",Input!J55)),points11,2,))</f>
        <v>0</v>
      </c>
      <c r="Y55">
        <f>IF(ISNA(VLOOKUP((CONCATENATE("Speed Bounce-",I55,"-",Input!K55)),points11,2,)),0,VLOOKUP((CONCATENATE("Speed Bounce-",I55,"-",Input!K55)),points11,2,))</f>
        <v>0</v>
      </c>
      <c r="Z55">
        <f>IF(ISNA(VLOOKUP((CONCATENATE("Target Throw-",I55,"-",Input!L55)),points11,2,)),0,VLOOKUP((CONCATENATE("Target Throw-",I55,"-",Input!L55)),points11,2,))</f>
        <v>0</v>
      </c>
      <c r="AA55">
        <f>IF(ISNA(VLOOKUP((CONCATENATE("Hi-Stepper-",I55,"-",Input!M55)),points11,2,)),0,VLOOKUP((CONCATENATE("Hi-Stepper-",I55,"-",Input!M55)),points11,2,))</f>
        <v>0</v>
      </c>
      <c r="AB55">
        <f>IF(ISNA(VLOOKUP((CONCATENATE("Chest Push-",I55,"-",Input!N55)),points11,2,)),0,VLOOKUP((CONCATENATE("Chest Push-",I55,"-",Input!N55)),points11,2,))</f>
        <v>0</v>
      </c>
      <c r="AC55">
        <f>IF(ISNA(VLOOKUP((CONCATENATE("Javelin Throw-",I55,"-",Input!O55)),points11,2,)),0,VLOOKUP((CONCATENATE("Javelin Throw-",I55,"-",Input!O55)),points11,2,))</f>
        <v>0</v>
      </c>
      <c r="AD55">
        <f t="shared" si="10"/>
        <v>0</v>
      </c>
      <c r="AE55" t="str">
        <f t="shared" si="11"/>
        <v xml:space="preserve"> </v>
      </c>
      <c r="AF55">
        <f t="shared" si="1"/>
        <v>0</v>
      </c>
      <c r="AI55">
        <v>49</v>
      </c>
    </row>
    <row r="56" spans="2:35" ht="15" thickBot="1" x14ac:dyDescent="0.4">
      <c r="B56" s="631"/>
      <c r="C56" s="520">
        <v>10</v>
      </c>
      <c r="D56" s="289">
        <v>4</v>
      </c>
      <c r="E56" s="376"/>
      <c r="F56" s="362"/>
      <c r="G56" s="377"/>
      <c r="H56" s="377"/>
      <c r="I56" s="377"/>
      <c r="J56" s="373"/>
      <c r="K56" s="374"/>
      <c r="L56" s="374"/>
      <c r="M56" s="374"/>
      <c r="N56" s="380"/>
      <c r="O56" s="492"/>
      <c r="P56" s="509">
        <f t="shared" si="2"/>
        <v>0</v>
      </c>
      <c r="Q56" s="445">
        <f t="shared" si="3"/>
        <v>0</v>
      </c>
      <c r="R56" s="445">
        <f t="shared" si="4"/>
        <v>0</v>
      </c>
      <c r="S56" s="445">
        <f t="shared" si="5"/>
        <v>0</v>
      </c>
      <c r="T56" s="445">
        <f t="shared" si="6"/>
        <v>0</v>
      </c>
      <c r="U56" s="445">
        <f t="shared" si="7"/>
        <v>0</v>
      </c>
      <c r="V56" s="445">
        <f t="shared" si="8"/>
        <v>0</v>
      </c>
      <c r="W56" s="446">
        <f t="shared" si="9"/>
        <v>0</v>
      </c>
      <c r="X56">
        <f>IF(ISNA(VLOOKUP((CONCATENATE("Standing Long Jump-",I56,"-",Input!J56)),points11,2,)),0,VLOOKUP((CONCATENATE("Standing Long Jump-",I56,"-",Input!J56)),points11,2,))</f>
        <v>0</v>
      </c>
      <c r="Y56">
        <f>IF(ISNA(VLOOKUP((CONCATENATE("Speed Bounce-",I56,"-",Input!K56)),points11,2,)),0,VLOOKUP((CONCATENATE("Speed Bounce-",I56,"-",Input!K56)),points11,2,))</f>
        <v>0</v>
      </c>
      <c r="Z56">
        <f>IF(ISNA(VLOOKUP((CONCATENATE("Target Throw-",I56,"-",Input!L56)),points11,2,)),0,VLOOKUP((CONCATENATE("Target Throw-",I56,"-",Input!L56)),points11,2,))</f>
        <v>0</v>
      </c>
      <c r="AA56">
        <f>IF(ISNA(VLOOKUP((CONCATENATE("Hi-Stepper-",I56,"-",Input!M56)),points11,2,)),0,VLOOKUP((CONCATENATE("Hi-Stepper-",I56,"-",Input!M56)),points11,2,))</f>
        <v>0</v>
      </c>
      <c r="AB56">
        <f>IF(ISNA(VLOOKUP((CONCATENATE("Chest Push-",I56,"-",Input!N56)),points11,2,)),0,VLOOKUP((CONCATENATE("Chest Push-",I56,"-",Input!N56)),points11,2,))</f>
        <v>0</v>
      </c>
      <c r="AC56">
        <f>IF(ISNA(VLOOKUP((CONCATENATE("Javelin Throw-",I56,"-",Input!O56)),points11,2,)),0,VLOOKUP((CONCATENATE("Javelin Throw-",I56,"-",Input!O56)),points11,2,))</f>
        <v>0</v>
      </c>
      <c r="AD56">
        <f t="shared" si="10"/>
        <v>0</v>
      </c>
      <c r="AE56" t="str">
        <f t="shared" si="11"/>
        <v xml:space="preserve"> </v>
      </c>
      <c r="AF56">
        <f t="shared" si="1"/>
        <v>0</v>
      </c>
      <c r="AI56">
        <v>50</v>
      </c>
    </row>
    <row r="57" spans="2:35" ht="15" thickBot="1" x14ac:dyDescent="0.4">
      <c r="B57" s="631"/>
      <c r="C57" s="520">
        <v>11</v>
      </c>
      <c r="D57" s="289">
        <v>4</v>
      </c>
      <c r="E57" s="382"/>
      <c r="F57" s="362"/>
      <c r="G57" s="383"/>
      <c r="H57" s="383"/>
      <c r="I57" s="383"/>
      <c r="J57" s="384"/>
      <c r="K57" s="385"/>
      <c r="L57" s="386"/>
      <c r="M57" s="385"/>
      <c r="N57" s="380"/>
      <c r="O57" s="492"/>
      <c r="P57" s="509">
        <f t="shared" si="2"/>
        <v>0</v>
      </c>
      <c r="Q57" s="445">
        <f t="shared" si="3"/>
        <v>0</v>
      </c>
      <c r="R57" s="445">
        <f t="shared" si="4"/>
        <v>0</v>
      </c>
      <c r="S57" s="445">
        <f t="shared" si="5"/>
        <v>0</v>
      </c>
      <c r="T57" s="445">
        <f t="shared" si="6"/>
        <v>0</v>
      </c>
      <c r="U57" s="445">
        <f t="shared" si="7"/>
        <v>0</v>
      </c>
      <c r="V57" s="445">
        <f t="shared" si="8"/>
        <v>0</v>
      </c>
      <c r="W57" s="446">
        <f t="shared" si="9"/>
        <v>0</v>
      </c>
      <c r="X57">
        <f>IF(ISNA(VLOOKUP((CONCATENATE("Standing Long Jump-",I57,"-",Input!J57)),points11,2,)),0,VLOOKUP((CONCATENATE("Standing Long Jump-",I57,"-",Input!J57)),points11,2,))</f>
        <v>0</v>
      </c>
      <c r="Y57">
        <f>IF(ISNA(VLOOKUP((CONCATENATE("Speed Bounce-",I57,"-",Input!K57)),points11,2,)),0,VLOOKUP((CONCATENATE("Speed Bounce-",I57,"-",Input!K57)),points11,2,))</f>
        <v>0</v>
      </c>
      <c r="Z57">
        <f>IF(ISNA(VLOOKUP((CONCATENATE("Target Throw-",I57,"-",Input!L57)),points11,2,)),0,VLOOKUP((CONCATENATE("Target Throw-",I57,"-",Input!L57)),points11,2,))</f>
        <v>0</v>
      </c>
      <c r="AA57">
        <f>IF(ISNA(VLOOKUP((CONCATENATE("Hi-Stepper-",I57,"-",Input!M57)),points11,2,)),0,VLOOKUP((CONCATENATE("Hi-Stepper-",I57,"-",Input!M57)),points11,2,))</f>
        <v>0</v>
      </c>
      <c r="AB57">
        <f>IF(ISNA(VLOOKUP((CONCATENATE("Chest Push-",I57,"-",Input!N57)),points11,2,)),0,VLOOKUP((CONCATENATE("Chest Push-",I57,"-",Input!N57)),points11,2,))</f>
        <v>0</v>
      </c>
      <c r="AC57">
        <f>IF(ISNA(VLOOKUP((CONCATENATE("Javelin Throw-",I57,"-",Input!O57)),points11,2,)),0,VLOOKUP((CONCATENATE("Javelin Throw-",I57,"-",Input!O57)),points11,2,))</f>
        <v>0</v>
      </c>
      <c r="AD57">
        <f t="shared" si="10"/>
        <v>0</v>
      </c>
      <c r="AE57" t="str">
        <f t="shared" si="11"/>
        <v xml:space="preserve"> </v>
      </c>
      <c r="AF57">
        <f t="shared" si="1"/>
        <v>0</v>
      </c>
      <c r="AI57">
        <v>51</v>
      </c>
    </row>
    <row r="58" spans="2:35" ht="15" thickBot="1" x14ac:dyDescent="0.4">
      <c r="B58" s="631"/>
      <c r="C58" s="520">
        <v>12</v>
      </c>
      <c r="D58" s="289">
        <v>4</v>
      </c>
      <c r="E58" s="412"/>
      <c r="F58" s="400"/>
      <c r="G58" s="413"/>
      <c r="H58" s="413"/>
      <c r="I58" s="413"/>
      <c r="J58" s="414"/>
      <c r="K58" s="415"/>
      <c r="L58" s="416"/>
      <c r="M58" s="415"/>
      <c r="N58" s="417"/>
      <c r="O58" s="493"/>
      <c r="P58" s="512">
        <f t="shared" si="2"/>
        <v>0</v>
      </c>
      <c r="Q58" s="451">
        <f t="shared" si="3"/>
        <v>0</v>
      </c>
      <c r="R58" s="451">
        <f t="shared" si="4"/>
        <v>0</v>
      </c>
      <c r="S58" s="451">
        <f t="shared" si="5"/>
        <v>0</v>
      </c>
      <c r="T58" s="451">
        <f t="shared" si="6"/>
        <v>0</v>
      </c>
      <c r="U58" s="451">
        <f t="shared" si="7"/>
        <v>0</v>
      </c>
      <c r="V58" s="451">
        <f t="shared" si="8"/>
        <v>0</v>
      </c>
      <c r="W58" s="452">
        <f t="shared" si="9"/>
        <v>0</v>
      </c>
      <c r="X58">
        <f>IF(ISNA(VLOOKUP((CONCATENATE("Standing Long Jump-",I58,"-",Input!J58)),points11,2,)),0,VLOOKUP((CONCATENATE("Standing Long Jump-",I58,"-",Input!J58)),points11,2,))</f>
        <v>0</v>
      </c>
      <c r="Y58">
        <f>IF(ISNA(VLOOKUP((CONCATENATE("Speed Bounce-",I58,"-",Input!K58)),points11,2,)),0,VLOOKUP((CONCATENATE("Speed Bounce-",I58,"-",Input!K58)),points11,2,))</f>
        <v>0</v>
      </c>
      <c r="Z58">
        <f>IF(ISNA(VLOOKUP((CONCATENATE("Target Throw-",I58,"-",Input!L58)),points11,2,)),0,VLOOKUP((CONCATENATE("Target Throw-",I58,"-",Input!L58)),points11,2,))</f>
        <v>0</v>
      </c>
      <c r="AA58">
        <f>IF(ISNA(VLOOKUP((CONCATENATE("Hi-Stepper-",I58,"-",Input!M58)),points11,2,)),0,VLOOKUP((CONCATENATE("Hi-Stepper-",I58,"-",Input!M58)),points11,2,))</f>
        <v>0</v>
      </c>
      <c r="AB58">
        <f>IF(ISNA(VLOOKUP((CONCATENATE("Chest Push-",I58,"-",Input!N58)),points11,2,)),0,VLOOKUP((CONCATENATE("Chest Push-",I58,"-",Input!N58)),points11,2,))</f>
        <v>0</v>
      </c>
      <c r="AC58">
        <f>IF(ISNA(VLOOKUP((CONCATENATE("Javelin Throw-",I58,"-",Input!O58)),points11,2,)),0,VLOOKUP((CONCATENATE("Javelin Throw-",I58,"-",Input!O58)),points11,2,))</f>
        <v>0</v>
      </c>
      <c r="AD58">
        <f t="shared" si="10"/>
        <v>0</v>
      </c>
      <c r="AE58" t="str">
        <f t="shared" si="11"/>
        <v xml:space="preserve"> </v>
      </c>
      <c r="AF58">
        <f t="shared" si="1"/>
        <v>0</v>
      </c>
      <c r="AI58">
        <v>52</v>
      </c>
    </row>
    <row r="59" spans="2:35" ht="15" thickBot="1" x14ac:dyDescent="0.4">
      <c r="B59" s="631" t="str">
        <f>'Competition Menu'!C15</f>
        <v>Team 5</v>
      </c>
      <c r="C59" s="520">
        <v>1</v>
      </c>
      <c r="D59" s="289">
        <v>5</v>
      </c>
      <c r="E59" s="457"/>
      <c r="F59" s="357"/>
      <c r="G59" s="440"/>
      <c r="H59" s="440"/>
      <c r="I59" s="440"/>
      <c r="J59" s="441"/>
      <c r="K59" s="442"/>
      <c r="L59" s="442"/>
      <c r="M59" s="442"/>
      <c r="N59" s="458"/>
      <c r="O59" s="494"/>
      <c r="P59" s="513">
        <f t="shared" si="2"/>
        <v>0</v>
      </c>
      <c r="Q59" s="453">
        <f t="shared" si="3"/>
        <v>0</v>
      </c>
      <c r="R59" s="453">
        <f t="shared" si="4"/>
        <v>0</v>
      </c>
      <c r="S59" s="453">
        <f t="shared" si="5"/>
        <v>0</v>
      </c>
      <c r="T59" s="453">
        <f t="shared" si="6"/>
        <v>0</v>
      </c>
      <c r="U59" s="453">
        <f t="shared" si="7"/>
        <v>0</v>
      </c>
      <c r="V59" s="453">
        <f t="shared" si="8"/>
        <v>0</v>
      </c>
      <c r="W59" s="454">
        <f t="shared" si="9"/>
        <v>0</v>
      </c>
      <c r="X59">
        <f>IF(ISNA(VLOOKUP((CONCATENATE("Standing Long Jump-",I59,"-",Input!J59)),points11,2,)),0,VLOOKUP((CONCATENATE("Standing Long Jump-",I59,"-",Input!J59)),points11,2,))</f>
        <v>0</v>
      </c>
      <c r="Y59">
        <f>IF(ISNA(VLOOKUP((CONCATENATE("Speed Bounce-",I59,"-",Input!K59)),points11,2,)),0,VLOOKUP((CONCATENATE("Speed Bounce-",I59,"-",Input!K59)),points11,2,))</f>
        <v>0</v>
      </c>
      <c r="Z59">
        <f>IF(ISNA(VLOOKUP((CONCATENATE("Target Throw-",I59,"-",Input!L59)),points11,2,)),0,VLOOKUP((CONCATENATE("Target Throw-",I59,"-",Input!L59)),points11,2,))</f>
        <v>0</v>
      </c>
      <c r="AA59">
        <f>IF(ISNA(VLOOKUP((CONCATENATE("Hi-Stepper-",I59,"-",Input!M59)),points11,2,)),0,VLOOKUP((CONCATENATE("Hi-Stepper-",I59,"-",Input!M59)),points11,2,))</f>
        <v>0</v>
      </c>
      <c r="AB59">
        <f>IF(ISNA(VLOOKUP((CONCATENATE("Chest Push-",I59,"-",Input!N59)),points11,2,)),0,VLOOKUP((CONCATENATE("Chest Push-",I59,"-",Input!N59)),points11,2,))</f>
        <v>0</v>
      </c>
      <c r="AC59">
        <f>IF(ISNA(VLOOKUP((CONCATENATE("Javelin Throw-",I59,"-",Input!O59)),points11,2,)),0,VLOOKUP((CONCATENATE("Javelin Throw-",I59,"-",Input!O59)),points11,2,))</f>
        <v>0</v>
      </c>
      <c r="AD59">
        <f t="shared" si="10"/>
        <v>0</v>
      </c>
      <c r="AE59" t="str">
        <f t="shared" si="11"/>
        <v xml:space="preserve"> </v>
      </c>
      <c r="AF59">
        <f t="shared" si="1"/>
        <v>0</v>
      </c>
      <c r="AI59">
        <v>54</v>
      </c>
    </row>
    <row r="60" spans="2:35" ht="15" thickBot="1" x14ac:dyDescent="0.4">
      <c r="B60" s="631"/>
      <c r="C60" s="520">
        <v>2</v>
      </c>
      <c r="D60" s="289">
        <v>5</v>
      </c>
      <c r="E60" s="376"/>
      <c r="F60" s="362"/>
      <c r="G60" s="372"/>
      <c r="H60" s="372"/>
      <c r="I60" s="372"/>
      <c r="J60" s="381"/>
      <c r="K60" s="375"/>
      <c r="L60" s="375"/>
      <c r="M60" s="375"/>
      <c r="N60" s="380"/>
      <c r="O60" s="492"/>
      <c r="P60" s="509">
        <f t="shared" si="2"/>
        <v>0</v>
      </c>
      <c r="Q60" s="445">
        <f t="shared" si="3"/>
        <v>0</v>
      </c>
      <c r="R60" s="445">
        <f t="shared" si="4"/>
        <v>0</v>
      </c>
      <c r="S60" s="445">
        <f t="shared" si="5"/>
        <v>0</v>
      </c>
      <c r="T60" s="445">
        <f t="shared" si="6"/>
        <v>0</v>
      </c>
      <c r="U60" s="445">
        <f t="shared" si="7"/>
        <v>0</v>
      </c>
      <c r="V60" s="445">
        <f t="shared" si="8"/>
        <v>0</v>
      </c>
      <c r="W60" s="446">
        <f t="shared" si="9"/>
        <v>0</v>
      </c>
      <c r="X60">
        <f>IF(ISNA(VLOOKUP((CONCATENATE("Standing Long Jump-",I60,"-",Input!J60)),points11,2,)),0,VLOOKUP((CONCATENATE("Standing Long Jump-",I60,"-",Input!J60)),points11,2,))</f>
        <v>0</v>
      </c>
      <c r="Y60">
        <f>IF(ISNA(VLOOKUP((CONCATENATE("Speed Bounce-",I60,"-",Input!K60)),points11,2,)),0,VLOOKUP((CONCATENATE("Speed Bounce-",I60,"-",Input!K60)),points11,2,))</f>
        <v>0</v>
      </c>
      <c r="Z60">
        <f>IF(ISNA(VLOOKUP((CONCATENATE("Target Throw-",I60,"-",Input!L60)),points11,2,)),0,VLOOKUP((CONCATENATE("Target Throw-",I60,"-",Input!L60)),points11,2,))</f>
        <v>0</v>
      </c>
      <c r="AA60">
        <f>IF(ISNA(VLOOKUP((CONCATENATE("Hi-Stepper-",I60,"-",Input!M60)),points11,2,)),0,VLOOKUP((CONCATENATE("Hi-Stepper-",I60,"-",Input!M60)),points11,2,))</f>
        <v>0</v>
      </c>
      <c r="AB60">
        <f>IF(ISNA(VLOOKUP((CONCATENATE("Chest Push-",I60,"-",Input!N60)),points11,2,)),0,VLOOKUP((CONCATENATE("Chest Push-",I60,"-",Input!N60)),points11,2,))</f>
        <v>0</v>
      </c>
      <c r="AC60">
        <f>IF(ISNA(VLOOKUP((CONCATENATE("Javelin Throw-",I60,"-",Input!O60)),points11,2,)),0,VLOOKUP((CONCATENATE("Javelin Throw-",I60,"-",Input!O60)),points11,2,))</f>
        <v>0</v>
      </c>
      <c r="AD60">
        <f t="shared" si="10"/>
        <v>0</v>
      </c>
      <c r="AE60" t="str">
        <f t="shared" si="11"/>
        <v xml:space="preserve"> </v>
      </c>
      <c r="AF60">
        <f t="shared" si="1"/>
        <v>0</v>
      </c>
      <c r="AI60">
        <v>55</v>
      </c>
    </row>
    <row r="61" spans="2:35" ht="15" thickBot="1" x14ac:dyDescent="0.4">
      <c r="B61" s="631"/>
      <c r="C61" s="520">
        <v>3</v>
      </c>
      <c r="D61" s="289">
        <v>5</v>
      </c>
      <c r="E61" s="376"/>
      <c r="F61" s="362"/>
      <c r="G61" s="372"/>
      <c r="H61" s="372"/>
      <c r="I61" s="372"/>
      <c r="J61" s="381"/>
      <c r="K61" s="375"/>
      <c r="L61" s="375"/>
      <c r="M61" s="375"/>
      <c r="N61" s="380"/>
      <c r="O61" s="492"/>
      <c r="P61" s="509">
        <f t="shared" si="2"/>
        <v>0</v>
      </c>
      <c r="Q61" s="445">
        <f t="shared" si="3"/>
        <v>0</v>
      </c>
      <c r="R61" s="445">
        <f t="shared" si="4"/>
        <v>0</v>
      </c>
      <c r="S61" s="445">
        <f t="shared" si="5"/>
        <v>0</v>
      </c>
      <c r="T61" s="445">
        <f t="shared" si="6"/>
        <v>0</v>
      </c>
      <c r="U61" s="445">
        <f t="shared" si="7"/>
        <v>0</v>
      </c>
      <c r="V61" s="445">
        <f t="shared" si="8"/>
        <v>0</v>
      </c>
      <c r="W61" s="446">
        <f t="shared" si="9"/>
        <v>0</v>
      </c>
      <c r="X61">
        <f>IF(ISNA(VLOOKUP((CONCATENATE("Standing Long Jump-",I61,"-",Input!J61)),points11,2,)),0,VLOOKUP((CONCATENATE("Standing Long Jump-",I61,"-",Input!J61)),points11,2,))</f>
        <v>0</v>
      </c>
      <c r="Y61">
        <f>IF(ISNA(VLOOKUP((CONCATENATE("Speed Bounce-",I61,"-",Input!K61)),points11,2,)),0,VLOOKUP((CONCATENATE("Speed Bounce-",I61,"-",Input!K61)),points11,2,))</f>
        <v>0</v>
      </c>
      <c r="Z61">
        <f>IF(ISNA(VLOOKUP((CONCATENATE("Target Throw-",I61,"-",Input!L61)),points11,2,)),0,VLOOKUP((CONCATENATE("Target Throw-",I61,"-",Input!L61)),points11,2,))</f>
        <v>0</v>
      </c>
      <c r="AA61">
        <f>IF(ISNA(VLOOKUP((CONCATENATE("Hi-Stepper-",I61,"-",Input!M61)),points11,2,)),0,VLOOKUP((CONCATENATE("Hi-Stepper-",I61,"-",Input!M61)),points11,2,))</f>
        <v>0</v>
      </c>
      <c r="AB61">
        <f>IF(ISNA(VLOOKUP((CONCATENATE("Chest Push-",I61,"-",Input!N61)),points11,2,)),0,VLOOKUP((CONCATENATE("Chest Push-",I61,"-",Input!N61)),points11,2,))</f>
        <v>0</v>
      </c>
      <c r="AC61">
        <f>IF(ISNA(VLOOKUP((CONCATENATE("Javelin Throw-",I61,"-",Input!O61)),points11,2,)),0,VLOOKUP((CONCATENATE("Javelin Throw-",I61,"-",Input!O61)),points11,2,))</f>
        <v>0</v>
      </c>
      <c r="AD61">
        <f t="shared" si="10"/>
        <v>0</v>
      </c>
      <c r="AE61" t="str">
        <f t="shared" si="11"/>
        <v xml:space="preserve"> </v>
      </c>
      <c r="AF61">
        <f t="shared" si="1"/>
        <v>0</v>
      </c>
      <c r="AI61">
        <v>56</v>
      </c>
    </row>
    <row r="62" spans="2:35" ht="15" thickBot="1" x14ac:dyDescent="0.4">
      <c r="B62" s="631"/>
      <c r="C62" s="520">
        <v>4</v>
      </c>
      <c r="D62" s="289">
        <v>5</v>
      </c>
      <c r="E62" s="382"/>
      <c r="F62" s="362"/>
      <c r="G62" s="383"/>
      <c r="H62" s="383"/>
      <c r="I62" s="383"/>
      <c r="J62" s="384"/>
      <c r="K62" s="385"/>
      <c r="L62" s="386"/>
      <c r="M62" s="385"/>
      <c r="N62" s="380"/>
      <c r="O62" s="492"/>
      <c r="P62" s="509">
        <f t="shared" si="2"/>
        <v>0</v>
      </c>
      <c r="Q62" s="445">
        <f t="shared" si="3"/>
        <v>0</v>
      </c>
      <c r="R62" s="445">
        <f t="shared" si="4"/>
        <v>0</v>
      </c>
      <c r="S62" s="445">
        <f t="shared" si="5"/>
        <v>0</v>
      </c>
      <c r="T62" s="445">
        <f t="shared" si="6"/>
        <v>0</v>
      </c>
      <c r="U62" s="445">
        <f t="shared" si="7"/>
        <v>0</v>
      </c>
      <c r="V62" s="445">
        <f t="shared" si="8"/>
        <v>0</v>
      </c>
      <c r="W62" s="446">
        <f t="shared" si="9"/>
        <v>0</v>
      </c>
      <c r="X62">
        <f>IF(ISNA(VLOOKUP((CONCATENATE("Standing Long Jump-",I62,"-",Input!J62)),points11,2,)),0,VLOOKUP((CONCATENATE("Standing Long Jump-",I62,"-",Input!J62)),points11,2,))</f>
        <v>0</v>
      </c>
      <c r="Y62">
        <f>IF(ISNA(VLOOKUP((CONCATENATE("Speed Bounce-",I62,"-",Input!K62)),points11,2,)),0,VLOOKUP((CONCATENATE("Speed Bounce-",I62,"-",Input!K62)),points11,2,))</f>
        <v>0</v>
      </c>
      <c r="Z62">
        <f>IF(ISNA(VLOOKUP((CONCATENATE("Target Throw-",I62,"-",Input!L62)),points11,2,)),0,VLOOKUP((CONCATENATE("Target Throw-",I62,"-",Input!L62)),points11,2,))</f>
        <v>0</v>
      </c>
      <c r="AA62">
        <f>IF(ISNA(VLOOKUP((CONCATENATE("Hi-Stepper-",I62,"-",Input!M62)),points11,2,)),0,VLOOKUP((CONCATENATE("Hi-Stepper-",I62,"-",Input!M62)),points11,2,))</f>
        <v>0</v>
      </c>
      <c r="AB62">
        <f>IF(ISNA(VLOOKUP((CONCATENATE("Chest Push-",I62,"-",Input!N62)),points11,2,)),0,VLOOKUP((CONCATENATE("Chest Push-",I62,"-",Input!N62)),points11,2,))</f>
        <v>0</v>
      </c>
      <c r="AC62">
        <f>IF(ISNA(VLOOKUP((CONCATENATE("Javelin Throw-",I62,"-",Input!O62)),points11,2,)),0,VLOOKUP((CONCATENATE("Javelin Throw-",I62,"-",Input!O62)),points11,2,))</f>
        <v>0</v>
      </c>
      <c r="AD62">
        <f t="shared" si="10"/>
        <v>0</v>
      </c>
      <c r="AE62" t="str">
        <f t="shared" si="11"/>
        <v xml:space="preserve"> </v>
      </c>
      <c r="AF62">
        <f t="shared" si="1"/>
        <v>0</v>
      </c>
      <c r="AI62">
        <v>57</v>
      </c>
    </row>
    <row r="63" spans="2:35" ht="15" thickBot="1" x14ac:dyDescent="0.4">
      <c r="B63" s="631"/>
      <c r="C63" s="520">
        <v>5</v>
      </c>
      <c r="D63" s="289">
        <v>5</v>
      </c>
      <c r="E63" s="382"/>
      <c r="F63" s="362"/>
      <c r="G63" s="383"/>
      <c r="H63" s="383"/>
      <c r="I63" s="383"/>
      <c r="J63" s="384"/>
      <c r="K63" s="385"/>
      <c r="L63" s="385"/>
      <c r="M63" s="385"/>
      <c r="N63" s="380"/>
      <c r="O63" s="492"/>
      <c r="P63" s="509">
        <f t="shared" si="2"/>
        <v>0</v>
      </c>
      <c r="Q63" s="445">
        <f t="shared" si="3"/>
        <v>0</v>
      </c>
      <c r="R63" s="445">
        <f t="shared" si="4"/>
        <v>0</v>
      </c>
      <c r="S63" s="445">
        <f t="shared" si="5"/>
        <v>0</v>
      </c>
      <c r="T63" s="445">
        <f t="shared" si="6"/>
        <v>0</v>
      </c>
      <c r="U63" s="445">
        <f t="shared" si="7"/>
        <v>0</v>
      </c>
      <c r="V63" s="445">
        <f t="shared" si="8"/>
        <v>0</v>
      </c>
      <c r="W63" s="446">
        <f t="shared" si="9"/>
        <v>0</v>
      </c>
      <c r="X63">
        <f>IF(ISNA(VLOOKUP((CONCATENATE("Standing Long Jump-",I63,"-",Input!J63)),points11,2,)),0,VLOOKUP((CONCATENATE("Standing Long Jump-",I63,"-",Input!J63)),points11,2,))</f>
        <v>0</v>
      </c>
      <c r="Y63">
        <f>IF(ISNA(VLOOKUP((CONCATENATE("Speed Bounce-",I63,"-",Input!K63)),points11,2,)),0,VLOOKUP((CONCATENATE("Speed Bounce-",I63,"-",Input!K63)),points11,2,))</f>
        <v>0</v>
      </c>
      <c r="Z63">
        <f>IF(ISNA(VLOOKUP((CONCATENATE("Target Throw-",I63,"-",Input!L63)),points11,2,)),0,VLOOKUP((CONCATENATE("Target Throw-",I63,"-",Input!L63)),points11,2,))</f>
        <v>0</v>
      </c>
      <c r="AA63">
        <f>IF(ISNA(VLOOKUP((CONCATENATE("Hi-Stepper-",I63,"-",Input!M63)),points11,2,)),0,VLOOKUP((CONCATENATE("Hi-Stepper-",I63,"-",Input!M63)),points11,2,))</f>
        <v>0</v>
      </c>
      <c r="AB63">
        <f>IF(ISNA(VLOOKUP((CONCATENATE("Chest Push-",I63,"-",Input!N63)),points11,2,)),0,VLOOKUP((CONCATENATE("Chest Push-",I63,"-",Input!N63)),points11,2,))</f>
        <v>0</v>
      </c>
      <c r="AC63">
        <f>IF(ISNA(VLOOKUP((CONCATENATE("Javelin Throw-",I63,"-",Input!O63)),points11,2,)),0,VLOOKUP((CONCATENATE("Javelin Throw-",I63,"-",Input!O63)),points11,2,))</f>
        <v>0</v>
      </c>
      <c r="AD63">
        <f t="shared" si="10"/>
        <v>0</v>
      </c>
      <c r="AE63" t="str">
        <f t="shared" si="11"/>
        <v xml:space="preserve"> </v>
      </c>
      <c r="AF63">
        <f t="shared" si="1"/>
        <v>0</v>
      </c>
      <c r="AI63">
        <v>58</v>
      </c>
    </row>
    <row r="64" spans="2:35" ht="15" thickBot="1" x14ac:dyDescent="0.4">
      <c r="B64" s="631"/>
      <c r="C64" s="520">
        <v>6</v>
      </c>
      <c r="D64" s="289">
        <v>5</v>
      </c>
      <c r="E64" s="382"/>
      <c r="F64" s="362"/>
      <c r="G64" s="383"/>
      <c r="H64" s="383"/>
      <c r="I64" s="383"/>
      <c r="J64" s="384"/>
      <c r="K64" s="385"/>
      <c r="L64" s="386"/>
      <c r="M64" s="385"/>
      <c r="N64" s="380"/>
      <c r="O64" s="492"/>
      <c r="P64" s="509">
        <f t="shared" si="2"/>
        <v>0</v>
      </c>
      <c r="Q64" s="445">
        <f t="shared" si="3"/>
        <v>0</v>
      </c>
      <c r="R64" s="445">
        <f t="shared" si="4"/>
        <v>0</v>
      </c>
      <c r="S64" s="445">
        <f t="shared" si="5"/>
        <v>0</v>
      </c>
      <c r="T64" s="445">
        <f t="shared" si="6"/>
        <v>0</v>
      </c>
      <c r="U64" s="445">
        <f t="shared" si="7"/>
        <v>0</v>
      </c>
      <c r="V64" s="445">
        <f t="shared" si="8"/>
        <v>0</v>
      </c>
      <c r="W64" s="446">
        <f t="shared" si="9"/>
        <v>0</v>
      </c>
      <c r="X64">
        <f>IF(ISNA(VLOOKUP((CONCATENATE("Standing Long Jump-",I64,"-",Input!J64)),points11,2,)),0,VLOOKUP((CONCATENATE("Standing Long Jump-",I64,"-",Input!J64)),points11,2,))</f>
        <v>0</v>
      </c>
      <c r="Y64">
        <f>IF(ISNA(VLOOKUP((CONCATENATE("Speed Bounce-",I64,"-",Input!K64)),points11,2,)),0,VLOOKUP((CONCATENATE("Speed Bounce-",I64,"-",Input!K64)),points11,2,))</f>
        <v>0</v>
      </c>
      <c r="Z64">
        <f>IF(ISNA(VLOOKUP((CONCATENATE("Target Throw-",I64,"-",Input!L64)),points11,2,)),0,VLOOKUP((CONCATENATE("Target Throw-",I64,"-",Input!L64)),points11,2,))</f>
        <v>0</v>
      </c>
      <c r="AA64">
        <f>IF(ISNA(VLOOKUP((CONCATENATE("Hi-Stepper-",I64,"-",Input!M64)),points11,2,)),0,VLOOKUP((CONCATENATE("Hi-Stepper-",I64,"-",Input!M64)),points11,2,))</f>
        <v>0</v>
      </c>
      <c r="AB64">
        <f>IF(ISNA(VLOOKUP((CONCATENATE("Chest Push-",I64,"-",Input!N64)),points11,2,)),0,VLOOKUP((CONCATENATE("Chest Push-",I64,"-",Input!N64)),points11,2,))</f>
        <v>0</v>
      </c>
      <c r="AC64">
        <f>IF(ISNA(VLOOKUP((CONCATENATE("Javelin Throw-",I64,"-",Input!O64)),points11,2,)),0,VLOOKUP((CONCATENATE("Javelin Throw-",I64,"-",Input!O64)),points11,2,))</f>
        <v>0</v>
      </c>
      <c r="AD64">
        <f t="shared" si="10"/>
        <v>0</v>
      </c>
      <c r="AE64" t="str">
        <f t="shared" si="11"/>
        <v xml:space="preserve"> </v>
      </c>
      <c r="AF64">
        <f t="shared" si="1"/>
        <v>0</v>
      </c>
      <c r="AI64">
        <v>59</v>
      </c>
    </row>
    <row r="65" spans="2:35" ht="15" thickBot="1" x14ac:dyDescent="0.4">
      <c r="B65" s="631"/>
      <c r="C65" s="520">
        <v>7</v>
      </c>
      <c r="D65" s="289">
        <v>5</v>
      </c>
      <c r="E65" s="382"/>
      <c r="F65" s="362"/>
      <c r="G65" s="383"/>
      <c r="H65" s="383"/>
      <c r="I65" s="383"/>
      <c r="J65" s="384"/>
      <c r="K65" s="385"/>
      <c r="L65" s="385"/>
      <c r="M65" s="385"/>
      <c r="N65" s="380"/>
      <c r="O65" s="492"/>
      <c r="P65" s="509">
        <f t="shared" si="2"/>
        <v>0</v>
      </c>
      <c r="Q65" s="445">
        <f t="shared" si="3"/>
        <v>0</v>
      </c>
      <c r="R65" s="445">
        <f t="shared" si="4"/>
        <v>0</v>
      </c>
      <c r="S65" s="445">
        <f t="shared" si="5"/>
        <v>0</v>
      </c>
      <c r="T65" s="445">
        <f t="shared" si="6"/>
        <v>0</v>
      </c>
      <c r="U65" s="445">
        <f t="shared" si="7"/>
        <v>0</v>
      </c>
      <c r="V65" s="445">
        <f t="shared" si="8"/>
        <v>0</v>
      </c>
      <c r="W65" s="446">
        <f t="shared" si="9"/>
        <v>0</v>
      </c>
      <c r="X65">
        <f>IF(ISNA(VLOOKUP((CONCATENATE("Standing Long Jump-",I65,"-",Input!J65)),points11,2,)),0,VLOOKUP((CONCATENATE("Standing Long Jump-",I65,"-",Input!J65)),points11,2,))</f>
        <v>0</v>
      </c>
      <c r="Y65">
        <f>IF(ISNA(VLOOKUP((CONCATENATE("Speed Bounce-",I65,"-",Input!K65)),points11,2,)),0,VLOOKUP((CONCATENATE("Speed Bounce-",I65,"-",Input!K65)),points11,2,))</f>
        <v>0</v>
      </c>
      <c r="Z65">
        <f>IF(ISNA(VLOOKUP((CONCATENATE("Target Throw-",I65,"-",Input!L65)),points11,2,)),0,VLOOKUP((CONCATENATE("Target Throw-",I65,"-",Input!L65)),points11,2,))</f>
        <v>0</v>
      </c>
      <c r="AA65">
        <f>IF(ISNA(VLOOKUP((CONCATENATE("Hi-Stepper-",I65,"-",Input!M65)),points11,2,)),0,VLOOKUP((CONCATENATE("Hi-Stepper-",I65,"-",Input!M65)),points11,2,))</f>
        <v>0</v>
      </c>
      <c r="AB65">
        <f>IF(ISNA(VLOOKUP((CONCATENATE("Chest Push-",I65,"-",Input!N65)),points11,2,)),0,VLOOKUP((CONCATENATE("Chest Push-",I65,"-",Input!N65)),points11,2,))</f>
        <v>0</v>
      </c>
      <c r="AC65">
        <f>IF(ISNA(VLOOKUP((CONCATENATE("Javelin Throw-",I65,"-",Input!O65)),points11,2,)),0,VLOOKUP((CONCATENATE("Javelin Throw-",I65,"-",Input!O65)),points11,2,))</f>
        <v>0</v>
      </c>
      <c r="AD65">
        <f t="shared" si="10"/>
        <v>0</v>
      </c>
      <c r="AE65" t="str">
        <f t="shared" si="11"/>
        <v xml:space="preserve"> </v>
      </c>
      <c r="AF65">
        <f t="shared" si="1"/>
        <v>0</v>
      </c>
      <c r="AI65">
        <v>60</v>
      </c>
    </row>
    <row r="66" spans="2:35" ht="15" thickBot="1" x14ac:dyDescent="0.4">
      <c r="B66" s="631"/>
      <c r="C66" s="520">
        <v>8</v>
      </c>
      <c r="D66" s="289">
        <v>5</v>
      </c>
      <c r="E66" s="382"/>
      <c r="F66" s="362"/>
      <c r="G66" s="383"/>
      <c r="H66" s="383"/>
      <c r="I66" s="383"/>
      <c r="J66" s="384"/>
      <c r="K66" s="385"/>
      <c r="L66" s="386"/>
      <c r="M66" s="385"/>
      <c r="N66" s="383"/>
      <c r="O66" s="495"/>
      <c r="P66" s="509">
        <f t="shared" si="2"/>
        <v>0</v>
      </c>
      <c r="Q66" s="445">
        <f t="shared" si="3"/>
        <v>0</v>
      </c>
      <c r="R66" s="445">
        <f t="shared" si="4"/>
        <v>0</v>
      </c>
      <c r="S66" s="445">
        <f t="shared" si="5"/>
        <v>0</v>
      </c>
      <c r="T66" s="445">
        <f t="shared" si="6"/>
        <v>0</v>
      </c>
      <c r="U66" s="445">
        <f t="shared" si="7"/>
        <v>0</v>
      </c>
      <c r="V66" s="445">
        <f t="shared" si="8"/>
        <v>0</v>
      </c>
      <c r="W66" s="446">
        <f t="shared" si="9"/>
        <v>0</v>
      </c>
      <c r="X66">
        <f>IF(ISNA(VLOOKUP((CONCATENATE("Standing Long Jump-",I66,"-",Input!J66)),points11,2,)),0,VLOOKUP((CONCATENATE("Standing Long Jump-",I66,"-",Input!J66)),points11,2,))</f>
        <v>0</v>
      </c>
      <c r="Y66">
        <f>IF(ISNA(VLOOKUP((CONCATENATE("Speed Bounce-",I66,"-",Input!K66)),points11,2,)),0,VLOOKUP((CONCATENATE("Speed Bounce-",I66,"-",Input!K66)),points11,2,))</f>
        <v>0</v>
      </c>
      <c r="Z66">
        <f>IF(ISNA(VLOOKUP((CONCATENATE("Target Throw-",I66,"-",Input!L66)),points11,2,)),0,VLOOKUP((CONCATENATE("Target Throw-",I66,"-",Input!L66)),points11,2,))</f>
        <v>0</v>
      </c>
      <c r="AA66">
        <f>IF(ISNA(VLOOKUP((CONCATENATE("Hi-Stepper-",I66,"-",Input!M66)),points11,2,)),0,VLOOKUP((CONCATENATE("Hi-Stepper-",I66,"-",Input!M66)),points11,2,))</f>
        <v>0</v>
      </c>
      <c r="AB66">
        <f>IF(ISNA(VLOOKUP((CONCATENATE("Chest Push-",I66,"-",Input!N66)),points11,2,)),0,VLOOKUP((CONCATENATE("Chest Push-",I66,"-",Input!N66)),points11,2,))</f>
        <v>0</v>
      </c>
      <c r="AC66">
        <f>IF(ISNA(VLOOKUP((CONCATENATE("Javelin Throw-",I66,"-",Input!O66)),points11,2,)),0,VLOOKUP((CONCATENATE("Javelin Throw-",I66,"-",Input!O66)),points11,2,))</f>
        <v>0</v>
      </c>
      <c r="AD66">
        <f t="shared" si="10"/>
        <v>0</v>
      </c>
      <c r="AE66" t="str">
        <f t="shared" si="11"/>
        <v xml:space="preserve"> </v>
      </c>
      <c r="AF66">
        <f t="shared" si="1"/>
        <v>0</v>
      </c>
      <c r="AI66">
        <v>61</v>
      </c>
    </row>
    <row r="67" spans="2:35" ht="15" thickBot="1" x14ac:dyDescent="0.4">
      <c r="B67" s="631"/>
      <c r="C67" s="520">
        <v>9</v>
      </c>
      <c r="D67" s="289">
        <v>5</v>
      </c>
      <c r="E67" s="382"/>
      <c r="F67" s="362"/>
      <c r="G67" s="383"/>
      <c r="H67" s="383"/>
      <c r="I67" s="383"/>
      <c r="J67" s="384"/>
      <c r="K67" s="385"/>
      <c r="L67" s="386"/>
      <c r="M67" s="385"/>
      <c r="N67" s="383"/>
      <c r="O67" s="495"/>
      <c r="P67" s="509">
        <f t="shared" si="2"/>
        <v>0</v>
      </c>
      <c r="Q67" s="445">
        <f t="shared" si="3"/>
        <v>0</v>
      </c>
      <c r="R67" s="445">
        <f t="shared" si="4"/>
        <v>0</v>
      </c>
      <c r="S67" s="445">
        <f t="shared" si="5"/>
        <v>0</v>
      </c>
      <c r="T67" s="445">
        <f t="shared" si="6"/>
        <v>0</v>
      </c>
      <c r="U67" s="445">
        <f t="shared" si="7"/>
        <v>0</v>
      </c>
      <c r="V67" s="445">
        <f t="shared" si="8"/>
        <v>0</v>
      </c>
      <c r="W67" s="446">
        <f t="shared" si="9"/>
        <v>0</v>
      </c>
      <c r="X67">
        <f>IF(ISNA(VLOOKUP((CONCATENATE("Standing Long Jump-",I67,"-",Input!J67)),points11,2,)),0,VLOOKUP((CONCATENATE("Standing Long Jump-",I67,"-",Input!J67)),points11,2,))</f>
        <v>0</v>
      </c>
      <c r="Y67">
        <f>IF(ISNA(VLOOKUP((CONCATENATE("Speed Bounce-",I67,"-",Input!K67)),points11,2,)),0,VLOOKUP((CONCATENATE("Speed Bounce-",I67,"-",Input!K67)),points11,2,))</f>
        <v>0</v>
      </c>
      <c r="Z67">
        <f>IF(ISNA(VLOOKUP((CONCATENATE("Target Throw-",I67,"-",Input!L67)),points11,2,)),0,VLOOKUP((CONCATENATE("Target Throw-",I67,"-",Input!L67)),points11,2,))</f>
        <v>0</v>
      </c>
      <c r="AA67">
        <f>IF(ISNA(VLOOKUP((CONCATENATE("Hi-Stepper-",I67,"-",Input!M67)),points11,2,)),0,VLOOKUP((CONCATENATE("Hi-Stepper-",I67,"-",Input!M67)),points11,2,))</f>
        <v>0</v>
      </c>
      <c r="AB67">
        <f>IF(ISNA(VLOOKUP((CONCATENATE("Chest Push-",I67,"-",Input!N67)),points11,2,)),0,VLOOKUP((CONCATENATE("Chest Push-",I67,"-",Input!N67)),points11,2,))</f>
        <v>0</v>
      </c>
      <c r="AC67">
        <f>IF(ISNA(VLOOKUP((CONCATENATE("Javelin Throw-",I67,"-",Input!O67)),points11,2,)),0,VLOOKUP((CONCATENATE("Javelin Throw-",I67,"-",Input!O67)),points11,2,))</f>
        <v>0</v>
      </c>
      <c r="AD67">
        <f t="shared" si="10"/>
        <v>0</v>
      </c>
      <c r="AE67" t="str">
        <f t="shared" si="11"/>
        <v xml:space="preserve"> </v>
      </c>
      <c r="AF67">
        <f t="shared" si="1"/>
        <v>0</v>
      </c>
      <c r="AI67">
        <v>62</v>
      </c>
    </row>
    <row r="68" spans="2:35" ht="15" thickBot="1" x14ac:dyDescent="0.4">
      <c r="B68" s="631"/>
      <c r="C68" s="520">
        <v>10</v>
      </c>
      <c r="D68" s="289">
        <v>5</v>
      </c>
      <c r="E68" s="382"/>
      <c r="F68" s="362"/>
      <c r="G68" s="383"/>
      <c r="H68" s="383"/>
      <c r="I68" s="383"/>
      <c r="J68" s="384"/>
      <c r="K68" s="385"/>
      <c r="L68" s="386"/>
      <c r="M68" s="385"/>
      <c r="N68" s="383"/>
      <c r="O68" s="495"/>
      <c r="P68" s="509">
        <f t="shared" si="2"/>
        <v>0</v>
      </c>
      <c r="Q68" s="445">
        <f t="shared" si="3"/>
        <v>0</v>
      </c>
      <c r="R68" s="445">
        <f t="shared" si="4"/>
        <v>0</v>
      </c>
      <c r="S68" s="445">
        <f t="shared" si="5"/>
        <v>0</v>
      </c>
      <c r="T68" s="445">
        <f t="shared" si="6"/>
        <v>0</v>
      </c>
      <c r="U68" s="445">
        <f t="shared" si="7"/>
        <v>0</v>
      </c>
      <c r="V68" s="445">
        <f t="shared" si="8"/>
        <v>0</v>
      </c>
      <c r="W68" s="446">
        <f t="shared" si="9"/>
        <v>0</v>
      </c>
      <c r="X68">
        <f>IF(ISNA(VLOOKUP((CONCATENATE("Standing Long Jump-",I68,"-",Input!J68)),points11,2,)),0,VLOOKUP((CONCATENATE("Standing Long Jump-",I68,"-",Input!J68)),points11,2,))</f>
        <v>0</v>
      </c>
      <c r="Y68">
        <f>IF(ISNA(VLOOKUP((CONCATENATE("Speed Bounce-",I68,"-",Input!K68)),points11,2,)),0,VLOOKUP((CONCATENATE("Speed Bounce-",I68,"-",Input!K68)),points11,2,))</f>
        <v>0</v>
      </c>
      <c r="Z68">
        <f>IF(ISNA(VLOOKUP((CONCATENATE("Target Throw-",I68,"-",Input!L68)),points11,2,)),0,VLOOKUP((CONCATENATE("Target Throw-",I68,"-",Input!L68)),points11,2,))</f>
        <v>0</v>
      </c>
      <c r="AA68">
        <f>IF(ISNA(VLOOKUP((CONCATENATE("Hi-Stepper-",I68,"-",Input!M68)),points11,2,)),0,VLOOKUP((CONCATENATE("Hi-Stepper-",I68,"-",Input!M68)),points11,2,))</f>
        <v>0</v>
      </c>
      <c r="AB68">
        <f>IF(ISNA(VLOOKUP((CONCATENATE("Chest Push-",I68,"-",Input!N68)),points11,2,)),0,VLOOKUP((CONCATENATE("Chest Push-",I68,"-",Input!N68)),points11,2,))</f>
        <v>0</v>
      </c>
      <c r="AC68">
        <f>IF(ISNA(VLOOKUP((CONCATENATE("Javelin Throw-",I68,"-",Input!O68)),points11,2,)),0,VLOOKUP((CONCATENATE("Javelin Throw-",I68,"-",Input!O68)),points11,2,))</f>
        <v>0</v>
      </c>
      <c r="AD68">
        <f t="shared" si="10"/>
        <v>0</v>
      </c>
      <c r="AE68" t="str">
        <f t="shared" si="11"/>
        <v xml:space="preserve"> </v>
      </c>
      <c r="AF68">
        <f t="shared" si="1"/>
        <v>0</v>
      </c>
      <c r="AI68">
        <v>63</v>
      </c>
    </row>
    <row r="69" spans="2:35" ht="15" thickBot="1" x14ac:dyDescent="0.4">
      <c r="B69" s="631"/>
      <c r="C69" s="520">
        <v>11</v>
      </c>
      <c r="D69" s="289">
        <v>5</v>
      </c>
      <c r="E69" s="382"/>
      <c r="F69" s="362"/>
      <c r="G69" s="383"/>
      <c r="H69" s="383"/>
      <c r="I69" s="383"/>
      <c r="J69" s="384"/>
      <c r="K69" s="385"/>
      <c r="L69" s="386"/>
      <c r="M69" s="386"/>
      <c r="N69" s="383"/>
      <c r="O69" s="495"/>
      <c r="P69" s="509">
        <f t="shared" si="2"/>
        <v>0</v>
      </c>
      <c r="Q69" s="445">
        <f t="shared" si="3"/>
        <v>0</v>
      </c>
      <c r="R69" s="445">
        <f t="shared" si="4"/>
        <v>0</v>
      </c>
      <c r="S69" s="445">
        <f t="shared" si="5"/>
        <v>0</v>
      </c>
      <c r="T69" s="445">
        <f t="shared" si="6"/>
        <v>0</v>
      </c>
      <c r="U69" s="445">
        <f t="shared" si="7"/>
        <v>0</v>
      </c>
      <c r="V69" s="445">
        <f t="shared" si="8"/>
        <v>0</v>
      </c>
      <c r="W69" s="446">
        <f t="shared" si="9"/>
        <v>0</v>
      </c>
      <c r="X69">
        <f>IF(ISNA(VLOOKUP((CONCATENATE("Standing Long Jump-",I69,"-",Input!J69)),points11,2,)),0,VLOOKUP((CONCATENATE("Standing Long Jump-",I69,"-",Input!J69)),points11,2,))</f>
        <v>0</v>
      </c>
      <c r="Y69">
        <f>IF(ISNA(VLOOKUP((CONCATENATE("Speed Bounce-",I69,"-",Input!K69)),points11,2,)),0,VLOOKUP((CONCATENATE("Speed Bounce-",I69,"-",Input!K69)),points11,2,))</f>
        <v>0</v>
      </c>
      <c r="Z69">
        <f>IF(ISNA(VLOOKUP((CONCATENATE("Target Throw-",I69,"-",Input!L69)),points11,2,)),0,VLOOKUP((CONCATENATE("Target Throw-",I69,"-",Input!L69)),points11,2,))</f>
        <v>0</v>
      </c>
      <c r="AA69">
        <f>IF(ISNA(VLOOKUP((CONCATENATE("Hi-Stepper-",I69,"-",Input!M69)),points11,2,)),0,VLOOKUP((CONCATENATE("Hi-Stepper-",I69,"-",Input!M69)),points11,2,))</f>
        <v>0</v>
      </c>
      <c r="AB69">
        <f>IF(ISNA(VLOOKUP((CONCATENATE("Chest Push-",I69,"-",Input!N69)),points11,2,)),0,VLOOKUP((CONCATENATE("Chest Push-",I69,"-",Input!N69)),points11,2,))</f>
        <v>0</v>
      </c>
      <c r="AC69">
        <f>IF(ISNA(VLOOKUP((CONCATENATE("Javelin Throw-",I69,"-",Input!O69)),points11,2,)),0,VLOOKUP((CONCATENATE("Javelin Throw-",I69,"-",Input!O69)),points11,2,))</f>
        <v>0</v>
      </c>
      <c r="AD69">
        <f t="shared" si="10"/>
        <v>0</v>
      </c>
      <c r="AE69" t="str">
        <f t="shared" si="11"/>
        <v xml:space="preserve"> </v>
      </c>
      <c r="AF69">
        <f t="shared" si="1"/>
        <v>0</v>
      </c>
      <c r="AI69">
        <v>64</v>
      </c>
    </row>
    <row r="70" spans="2:35" ht="15" thickBot="1" x14ac:dyDescent="0.4">
      <c r="B70" s="631"/>
      <c r="C70" s="520">
        <v>12</v>
      </c>
      <c r="D70" s="289">
        <v>5</v>
      </c>
      <c r="E70" s="459"/>
      <c r="F70" s="395"/>
      <c r="G70" s="460"/>
      <c r="H70" s="460"/>
      <c r="I70" s="460"/>
      <c r="J70" s="461"/>
      <c r="K70" s="460"/>
      <c r="L70" s="460"/>
      <c r="M70" s="460"/>
      <c r="N70" s="460"/>
      <c r="O70" s="496"/>
      <c r="P70" s="510">
        <f t="shared" si="2"/>
        <v>0</v>
      </c>
      <c r="Q70" s="447">
        <f t="shared" si="3"/>
        <v>0</v>
      </c>
      <c r="R70" s="447">
        <f t="shared" si="4"/>
        <v>0</v>
      </c>
      <c r="S70" s="447">
        <f t="shared" si="5"/>
        <v>0</v>
      </c>
      <c r="T70" s="447">
        <f t="shared" si="6"/>
        <v>0</v>
      </c>
      <c r="U70" s="447">
        <f t="shared" si="7"/>
        <v>0</v>
      </c>
      <c r="V70" s="447">
        <f t="shared" si="8"/>
        <v>0</v>
      </c>
      <c r="W70" s="448">
        <f t="shared" si="9"/>
        <v>0</v>
      </c>
      <c r="X70">
        <f>IF(ISNA(VLOOKUP((CONCATENATE("Standing Long Jump-",I70,"-",Input!J70)),points11,2,)),0,VLOOKUP((CONCATENATE("Standing Long Jump-",I70,"-",Input!J70)),points11,2,))</f>
        <v>0</v>
      </c>
      <c r="Y70">
        <f>IF(ISNA(VLOOKUP((CONCATENATE("Speed Bounce-",I70,"-",Input!K70)),points11,2,)),0,VLOOKUP((CONCATENATE("Speed Bounce-",I70,"-",Input!K70)),points11,2,))</f>
        <v>0</v>
      </c>
      <c r="Z70">
        <f>IF(ISNA(VLOOKUP((CONCATENATE("Target Throw-",I70,"-",Input!L70)),points11,2,)),0,VLOOKUP((CONCATENATE("Target Throw-",I70,"-",Input!L70)),points11,2,))</f>
        <v>0</v>
      </c>
      <c r="AA70">
        <f>IF(ISNA(VLOOKUP((CONCATENATE("Hi-Stepper-",I70,"-",Input!M70)),points11,2,)),0,VLOOKUP((CONCATENATE("Hi-Stepper-",I70,"-",Input!M70)),points11,2,))</f>
        <v>0</v>
      </c>
      <c r="AB70">
        <f>IF(ISNA(VLOOKUP((CONCATENATE("Chest Push-",I70,"-",Input!N70)),points11,2,)),0,VLOOKUP((CONCATENATE("Chest Push-",I70,"-",Input!N70)),points11,2,))</f>
        <v>0</v>
      </c>
      <c r="AC70">
        <f>IF(ISNA(VLOOKUP((CONCATENATE("Javelin Throw-",I70,"-",Input!O70)),points11,2,)),0,VLOOKUP((CONCATENATE("Javelin Throw-",I70,"-",Input!O70)),points11,2,))</f>
        <v>0</v>
      </c>
      <c r="AD70">
        <f t="shared" si="10"/>
        <v>0</v>
      </c>
      <c r="AE70" t="str">
        <f t="shared" si="11"/>
        <v xml:space="preserve"> </v>
      </c>
      <c r="AF70">
        <f t="shared" si="1"/>
        <v>0</v>
      </c>
      <c r="AI70">
        <v>65</v>
      </c>
    </row>
    <row r="71" spans="2:35" ht="15" thickBot="1" x14ac:dyDescent="0.4">
      <c r="B71" s="631" t="str">
        <f>'Competition Menu'!C16</f>
        <v>Team 6</v>
      </c>
      <c r="C71" s="520">
        <v>1</v>
      </c>
      <c r="D71" s="289">
        <v>6</v>
      </c>
      <c r="E71" s="406"/>
      <c r="F71" s="407"/>
      <c r="G71" s="408"/>
      <c r="H71" s="408"/>
      <c r="I71" s="408"/>
      <c r="J71" s="409"/>
      <c r="K71" s="410"/>
      <c r="L71" s="410"/>
      <c r="M71" s="410"/>
      <c r="N71" s="418"/>
      <c r="O71" s="497"/>
      <c r="P71" s="511">
        <f t="shared" ref="P71:P130" si="12">IF(X71=0,0,X71)</f>
        <v>0</v>
      </c>
      <c r="Q71" s="449">
        <f t="shared" ref="Q71:Q130" si="13">IF(Y71=0,0,Y71)</f>
        <v>0</v>
      </c>
      <c r="R71" s="449">
        <f t="shared" ref="R71:R130" si="14">IF(Z71=0,0,Z71)</f>
        <v>0</v>
      </c>
      <c r="S71" s="449">
        <f t="shared" ref="S71:S130" si="15">IF(AA71=0,0,AA71)</f>
        <v>0</v>
      </c>
      <c r="T71" s="449">
        <f t="shared" ref="T71:T130" si="16">IF(AB71=0,0,AB71)</f>
        <v>0</v>
      </c>
      <c r="U71" s="449">
        <f t="shared" ref="U71:U130" si="17">IF(AC71=0,0,AC71)</f>
        <v>0</v>
      </c>
      <c r="V71" s="449">
        <f t="shared" ref="V71:V130" si="18">IF(AD71=0,0,AD71)</f>
        <v>0</v>
      </c>
      <c r="W71" s="450">
        <f t="shared" ref="W71:W130" si="19">IF(AF71=0,0,AF71)</f>
        <v>0</v>
      </c>
      <c r="X71">
        <f>IF(ISNA(VLOOKUP((CONCATENATE("Standing Long Jump-",I71,"-",Input!J71)),points11,2,)),0,VLOOKUP((CONCATENATE("Standing Long Jump-",I71,"-",Input!J71)),points11,2,))</f>
        <v>0</v>
      </c>
      <c r="Y71">
        <f>IF(ISNA(VLOOKUP((CONCATENATE("Speed Bounce-",I71,"-",Input!K71)),points11,2,)),0,VLOOKUP((CONCATENATE("Speed Bounce-",I71,"-",Input!K71)),points11,2,))</f>
        <v>0</v>
      </c>
      <c r="Z71">
        <f>IF(ISNA(VLOOKUP((CONCATENATE("Target Throw-",I71,"-",Input!L71)),points11,2,)),0,VLOOKUP((CONCATENATE("Target Throw-",I71,"-",Input!L71)),points11,2,))</f>
        <v>0</v>
      </c>
      <c r="AA71">
        <f>IF(ISNA(VLOOKUP((CONCATENATE("Hi-Stepper-",I71,"-",Input!M71)),points11,2,)),0,VLOOKUP((CONCATENATE("Hi-Stepper-",I71,"-",Input!M71)),points11,2,))</f>
        <v>0</v>
      </c>
      <c r="AB71">
        <f>IF(ISNA(VLOOKUP((CONCATENATE("Chest Push-",I71,"-",Input!N71)),points11,2,)),0,VLOOKUP((CONCATENATE("Chest Push-",I71,"-",Input!N71)),points11,2,))</f>
        <v>0</v>
      </c>
      <c r="AC71">
        <f>IF(ISNA(VLOOKUP((CONCATENATE("Javelin Throw-",I71,"-",Input!O71)),points11,2,)),0,VLOOKUP((CONCATENATE("Javelin Throw-",I71,"-",Input!O71)),points11,2,))</f>
        <v>0</v>
      </c>
      <c r="AD71">
        <f t="shared" ref="AD71:AD130" si="20">IF(I71&lt;3,SUM(Y71:AC71),IF(I71&gt;2,LARGE(X71:AC71,1)+LARGE(X71:AC71,2)+LARGE(X71:AC71,3)+LARGE(X71:AC71,4)+LARGE(X71:AC71,5)," "))</f>
        <v>0</v>
      </c>
      <c r="AE71" t="str">
        <f t="shared" ref="AE71:AE130" si="21">IF(F71=0," ",IF(F71&lt;7,"P",IF(F71&gt;6,"S"," ")))</f>
        <v xml:space="preserve"> </v>
      </c>
      <c r="AF71">
        <f t="shared" si="1"/>
        <v>0</v>
      </c>
      <c r="AI71">
        <v>67</v>
      </c>
    </row>
    <row r="72" spans="2:35" ht="15" thickBot="1" x14ac:dyDescent="0.4">
      <c r="B72" s="631"/>
      <c r="C72" s="520">
        <v>2</v>
      </c>
      <c r="D72" s="289">
        <v>6</v>
      </c>
      <c r="E72" s="371"/>
      <c r="F72" s="362"/>
      <c r="G72" s="372"/>
      <c r="H72" s="372"/>
      <c r="I72" s="372"/>
      <c r="J72" s="373"/>
      <c r="K72" s="374"/>
      <c r="L72" s="374"/>
      <c r="M72" s="374"/>
      <c r="N72" s="383"/>
      <c r="O72" s="495"/>
      <c r="P72" s="509">
        <f t="shared" si="12"/>
        <v>0</v>
      </c>
      <c r="Q72" s="445">
        <f t="shared" si="13"/>
        <v>0</v>
      </c>
      <c r="R72" s="445">
        <f t="shared" si="14"/>
        <v>0</v>
      </c>
      <c r="S72" s="445">
        <f t="shared" si="15"/>
        <v>0</v>
      </c>
      <c r="T72" s="445">
        <f t="shared" si="16"/>
        <v>0</v>
      </c>
      <c r="U72" s="445">
        <f t="shared" si="17"/>
        <v>0</v>
      </c>
      <c r="V72" s="445">
        <f t="shared" si="18"/>
        <v>0</v>
      </c>
      <c r="W72" s="446">
        <f t="shared" si="19"/>
        <v>0</v>
      </c>
      <c r="X72">
        <f>IF(ISNA(VLOOKUP((CONCATENATE("Standing Long Jump-",I72,"-",Input!J72)),points11,2,)),0,VLOOKUP((CONCATENATE("Standing Long Jump-",I72,"-",Input!J72)),points11,2,))</f>
        <v>0</v>
      </c>
      <c r="Y72">
        <f>IF(ISNA(VLOOKUP((CONCATENATE("Speed Bounce-",I72,"-",Input!K72)),points11,2,)),0,VLOOKUP((CONCATENATE("Speed Bounce-",I72,"-",Input!K72)),points11,2,))</f>
        <v>0</v>
      </c>
      <c r="Z72">
        <f>IF(ISNA(VLOOKUP((CONCATENATE("Target Throw-",I72,"-",Input!L72)),points11,2,)),0,VLOOKUP((CONCATENATE("Target Throw-",I72,"-",Input!L72)),points11,2,))</f>
        <v>0</v>
      </c>
      <c r="AA72">
        <f>IF(ISNA(VLOOKUP((CONCATENATE("Hi-Stepper-",I72,"-",Input!M72)),points11,2,)),0,VLOOKUP((CONCATENATE("Hi-Stepper-",I72,"-",Input!M72)),points11,2,))</f>
        <v>0</v>
      </c>
      <c r="AB72">
        <f>IF(ISNA(VLOOKUP((CONCATENATE("Chest Push-",I72,"-",Input!N72)),points11,2,)),0,VLOOKUP((CONCATENATE("Chest Push-",I72,"-",Input!N72)),points11,2,))</f>
        <v>0</v>
      </c>
      <c r="AC72">
        <f>IF(ISNA(VLOOKUP((CONCATENATE("Javelin Throw-",I72,"-",Input!O72)),points11,2,)),0,VLOOKUP((CONCATENATE("Javelin Throw-",I72,"-",Input!O72)),points11,2,))</f>
        <v>0</v>
      </c>
      <c r="AD72">
        <f t="shared" si="20"/>
        <v>0</v>
      </c>
      <c r="AE72" t="str">
        <f t="shared" si="21"/>
        <v xml:space="preserve"> </v>
      </c>
      <c r="AF72">
        <f t="shared" si="1"/>
        <v>0</v>
      </c>
      <c r="AI72">
        <v>68</v>
      </c>
    </row>
    <row r="73" spans="2:35" ht="15" thickBot="1" x14ac:dyDescent="0.4">
      <c r="B73" s="631"/>
      <c r="C73" s="520">
        <v>3</v>
      </c>
      <c r="D73" s="289">
        <v>6</v>
      </c>
      <c r="E73" s="371"/>
      <c r="F73" s="362"/>
      <c r="G73" s="372"/>
      <c r="H73" s="372"/>
      <c r="I73" s="372"/>
      <c r="J73" s="373"/>
      <c r="K73" s="374"/>
      <c r="L73" s="374"/>
      <c r="M73" s="374"/>
      <c r="N73" s="383"/>
      <c r="O73" s="495"/>
      <c r="P73" s="509">
        <f t="shared" si="12"/>
        <v>0</v>
      </c>
      <c r="Q73" s="445">
        <f t="shared" si="13"/>
        <v>0</v>
      </c>
      <c r="R73" s="445">
        <f t="shared" si="14"/>
        <v>0</v>
      </c>
      <c r="S73" s="445">
        <f t="shared" si="15"/>
        <v>0</v>
      </c>
      <c r="T73" s="445">
        <f t="shared" si="16"/>
        <v>0</v>
      </c>
      <c r="U73" s="445">
        <f t="shared" si="17"/>
        <v>0</v>
      </c>
      <c r="V73" s="445">
        <f t="shared" si="18"/>
        <v>0</v>
      </c>
      <c r="W73" s="446">
        <f t="shared" si="19"/>
        <v>0</v>
      </c>
      <c r="X73">
        <f>IF(ISNA(VLOOKUP((CONCATENATE("Standing Long Jump-",I73,"-",Input!J73)),points11,2,)),0,VLOOKUP((CONCATENATE("Standing Long Jump-",I73,"-",Input!J73)),points11,2,))</f>
        <v>0</v>
      </c>
      <c r="Y73">
        <f>IF(ISNA(VLOOKUP((CONCATENATE("Speed Bounce-",I73,"-",Input!K73)),points11,2,)),0,VLOOKUP((CONCATENATE("Speed Bounce-",I73,"-",Input!K73)),points11,2,))</f>
        <v>0</v>
      </c>
      <c r="Z73">
        <f>IF(ISNA(VLOOKUP((CONCATENATE("Target Throw-",I73,"-",Input!L73)),points11,2,)),0,VLOOKUP((CONCATENATE("Target Throw-",I73,"-",Input!L73)),points11,2,))</f>
        <v>0</v>
      </c>
      <c r="AA73">
        <f>IF(ISNA(VLOOKUP((CONCATENATE("Hi-Stepper-",I73,"-",Input!M73)),points11,2,)),0,VLOOKUP((CONCATENATE("Hi-Stepper-",I73,"-",Input!M73)),points11,2,))</f>
        <v>0</v>
      </c>
      <c r="AB73">
        <f>IF(ISNA(VLOOKUP((CONCATENATE("Chest Push-",I73,"-",Input!N73)),points11,2,)),0,VLOOKUP((CONCATENATE("Chest Push-",I73,"-",Input!N73)),points11,2,))</f>
        <v>0</v>
      </c>
      <c r="AC73">
        <f>IF(ISNA(VLOOKUP((CONCATENATE("Javelin Throw-",I73,"-",Input!O73)),points11,2,)),0,VLOOKUP((CONCATENATE("Javelin Throw-",I73,"-",Input!O73)),points11,2,))</f>
        <v>0</v>
      </c>
      <c r="AD73">
        <f t="shared" si="20"/>
        <v>0</v>
      </c>
      <c r="AE73" t="str">
        <f t="shared" si="21"/>
        <v xml:space="preserve"> </v>
      </c>
      <c r="AF73">
        <f t="shared" si="1"/>
        <v>0</v>
      </c>
      <c r="AI73">
        <v>69</v>
      </c>
    </row>
    <row r="74" spans="2:35" ht="15" thickBot="1" x14ac:dyDescent="0.4">
      <c r="B74" s="631"/>
      <c r="C74" s="520">
        <v>4</v>
      </c>
      <c r="D74" s="289">
        <v>6</v>
      </c>
      <c r="E74" s="371"/>
      <c r="F74" s="362"/>
      <c r="G74" s="372"/>
      <c r="H74" s="372"/>
      <c r="I74" s="372"/>
      <c r="J74" s="373"/>
      <c r="K74" s="374"/>
      <c r="L74" s="374"/>
      <c r="M74" s="374"/>
      <c r="N74" s="383"/>
      <c r="O74" s="495"/>
      <c r="P74" s="509">
        <f t="shared" si="12"/>
        <v>0</v>
      </c>
      <c r="Q74" s="445">
        <f t="shared" si="13"/>
        <v>0</v>
      </c>
      <c r="R74" s="445">
        <f t="shared" si="14"/>
        <v>0</v>
      </c>
      <c r="S74" s="445">
        <f t="shared" si="15"/>
        <v>0</v>
      </c>
      <c r="T74" s="445">
        <f t="shared" si="16"/>
        <v>0</v>
      </c>
      <c r="U74" s="445">
        <f t="shared" si="17"/>
        <v>0</v>
      </c>
      <c r="V74" s="445">
        <f t="shared" si="18"/>
        <v>0</v>
      </c>
      <c r="W74" s="446">
        <f t="shared" si="19"/>
        <v>0</v>
      </c>
      <c r="X74">
        <f>IF(ISNA(VLOOKUP((CONCATENATE("Standing Long Jump-",I74,"-",Input!J74)),points11,2,)),0,VLOOKUP((CONCATENATE("Standing Long Jump-",I74,"-",Input!J74)),points11,2,))</f>
        <v>0</v>
      </c>
      <c r="Y74">
        <f>IF(ISNA(VLOOKUP((CONCATENATE("Speed Bounce-",I74,"-",Input!K74)),points11,2,)),0,VLOOKUP((CONCATENATE("Speed Bounce-",I74,"-",Input!K74)),points11,2,))</f>
        <v>0</v>
      </c>
      <c r="Z74">
        <f>IF(ISNA(VLOOKUP((CONCATENATE("Target Throw-",I74,"-",Input!L74)),points11,2,)),0,VLOOKUP((CONCATENATE("Target Throw-",I74,"-",Input!L74)),points11,2,))</f>
        <v>0</v>
      </c>
      <c r="AA74">
        <f>IF(ISNA(VLOOKUP((CONCATENATE("Hi-Stepper-",I74,"-",Input!M74)),points11,2,)),0,VLOOKUP((CONCATENATE("Hi-Stepper-",I74,"-",Input!M74)),points11,2,))</f>
        <v>0</v>
      </c>
      <c r="AB74">
        <f>IF(ISNA(VLOOKUP((CONCATENATE("Chest Push-",I74,"-",Input!N74)),points11,2,)),0,VLOOKUP((CONCATENATE("Chest Push-",I74,"-",Input!N74)),points11,2,))</f>
        <v>0</v>
      </c>
      <c r="AC74">
        <f>IF(ISNA(VLOOKUP((CONCATENATE("Javelin Throw-",I74,"-",Input!O74)),points11,2,)),0,VLOOKUP((CONCATENATE("Javelin Throw-",I74,"-",Input!O74)),points11,2,))</f>
        <v>0</v>
      </c>
      <c r="AD74">
        <f t="shared" si="20"/>
        <v>0</v>
      </c>
      <c r="AE74" t="str">
        <f t="shared" si="21"/>
        <v xml:space="preserve"> </v>
      </c>
      <c r="AF74">
        <f t="shared" si="1"/>
        <v>0</v>
      </c>
      <c r="AI74">
        <v>70</v>
      </c>
    </row>
    <row r="75" spans="2:35" ht="15" thickBot="1" x14ac:dyDescent="0.4">
      <c r="B75" s="631"/>
      <c r="C75" s="520">
        <v>5</v>
      </c>
      <c r="D75" s="289">
        <v>6</v>
      </c>
      <c r="E75" s="371"/>
      <c r="F75" s="362"/>
      <c r="G75" s="372"/>
      <c r="H75" s="372"/>
      <c r="I75" s="372"/>
      <c r="J75" s="373"/>
      <c r="K75" s="374"/>
      <c r="L75" s="374"/>
      <c r="M75" s="374"/>
      <c r="N75" s="383"/>
      <c r="O75" s="495"/>
      <c r="P75" s="509">
        <f t="shared" si="12"/>
        <v>0</v>
      </c>
      <c r="Q75" s="445">
        <f t="shared" si="13"/>
        <v>0</v>
      </c>
      <c r="R75" s="445">
        <f t="shared" si="14"/>
        <v>0</v>
      </c>
      <c r="S75" s="445">
        <f t="shared" si="15"/>
        <v>0</v>
      </c>
      <c r="T75" s="445">
        <f t="shared" si="16"/>
        <v>0</v>
      </c>
      <c r="U75" s="445">
        <f t="shared" si="17"/>
        <v>0</v>
      </c>
      <c r="V75" s="445">
        <f t="shared" si="18"/>
        <v>0</v>
      </c>
      <c r="W75" s="446">
        <f t="shared" si="19"/>
        <v>0</v>
      </c>
      <c r="X75">
        <f>IF(ISNA(VLOOKUP((CONCATENATE("Standing Long Jump-",I75,"-",Input!J75)),points11,2,)),0,VLOOKUP((CONCATENATE("Standing Long Jump-",I75,"-",Input!J75)),points11,2,))</f>
        <v>0</v>
      </c>
      <c r="Y75">
        <f>IF(ISNA(VLOOKUP((CONCATENATE("Speed Bounce-",I75,"-",Input!K75)),points11,2,)),0,VLOOKUP((CONCATENATE("Speed Bounce-",I75,"-",Input!K75)),points11,2,))</f>
        <v>0</v>
      </c>
      <c r="Z75">
        <f>IF(ISNA(VLOOKUP((CONCATENATE("Target Throw-",I75,"-",Input!L75)),points11,2,)),0,VLOOKUP((CONCATENATE("Target Throw-",I75,"-",Input!L75)),points11,2,))</f>
        <v>0</v>
      </c>
      <c r="AA75">
        <f>IF(ISNA(VLOOKUP((CONCATENATE("Hi-Stepper-",I75,"-",Input!M75)),points11,2,)),0,VLOOKUP((CONCATENATE("Hi-Stepper-",I75,"-",Input!M75)),points11,2,))</f>
        <v>0</v>
      </c>
      <c r="AB75">
        <f>IF(ISNA(VLOOKUP((CONCATENATE("Chest Push-",I75,"-",Input!N75)),points11,2,)),0,VLOOKUP((CONCATENATE("Chest Push-",I75,"-",Input!N75)),points11,2,))</f>
        <v>0</v>
      </c>
      <c r="AC75">
        <f>IF(ISNA(VLOOKUP((CONCATENATE("Javelin Throw-",I75,"-",Input!O75)),points11,2,)),0,VLOOKUP((CONCATENATE("Javelin Throw-",I75,"-",Input!O75)),points11,2,))</f>
        <v>0</v>
      </c>
      <c r="AD75">
        <f t="shared" si="20"/>
        <v>0</v>
      </c>
      <c r="AE75" t="str">
        <f t="shared" si="21"/>
        <v xml:space="preserve"> </v>
      </c>
      <c r="AF75">
        <f t="shared" ref="AF75:AF138" si="22">IF(ISNA(VLOOKUP((CONCATENATE(AE75,"-",H75,"-",AD75)),award11,2,)),0,VLOOKUP((CONCATENATE(AE75,"-",H75,"-",AD75)),award11,2,))</f>
        <v>0</v>
      </c>
      <c r="AI75">
        <v>71</v>
      </c>
    </row>
    <row r="76" spans="2:35" ht="15" thickBot="1" x14ac:dyDescent="0.4">
      <c r="B76" s="631"/>
      <c r="C76" s="520">
        <v>6</v>
      </c>
      <c r="D76" s="289">
        <v>6</v>
      </c>
      <c r="E76" s="376"/>
      <c r="F76" s="362"/>
      <c r="G76" s="377"/>
      <c r="H76" s="377"/>
      <c r="I76" s="377"/>
      <c r="J76" s="373"/>
      <c r="K76" s="374"/>
      <c r="L76" s="374"/>
      <c r="M76" s="374"/>
      <c r="N76" s="383"/>
      <c r="O76" s="495"/>
      <c r="P76" s="509">
        <f t="shared" si="12"/>
        <v>0</v>
      </c>
      <c r="Q76" s="445">
        <f t="shared" si="13"/>
        <v>0</v>
      </c>
      <c r="R76" s="445">
        <f t="shared" si="14"/>
        <v>0</v>
      </c>
      <c r="S76" s="445">
        <f t="shared" si="15"/>
        <v>0</v>
      </c>
      <c r="T76" s="445">
        <f t="shared" si="16"/>
        <v>0</v>
      </c>
      <c r="U76" s="445">
        <f t="shared" si="17"/>
        <v>0</v>
      </c>
      <c r="V76" s="445">
        <f t="shared" si="18"/>
        <v>0</v>
      </c>
      <c r="W76" s="446">
        <f t="shared" si="19"/>
        <v>0</v>
      </c>
      <c r="X76">
        <f>IF(ISNA(VLOOKUP((CONCATENATE("Standing Long Jump-",I76,"-",Input!J76)),points11,2,)),0,VLOOKUP((CONCATENATE("Standing Long Jump-",I76,"-",Input!J76)),points11,2,))</f>
        <v>0</v>
      </c>
      <c r="Y76">
        <f>IF(ISNA(VLOOKUP((CONCATENATE("Speed Bounce-",I76,"-",Input!K76)),points11,2,)),0,VLOOKUP((CONCATENATE("Speed Bounce-",I76,"-",Input!K76)),points11,2,))</f>
        <v>0</v>
      </c>
      <c r="Z76">
        <f>IF(ISNA(VLOOKUP((CONCATENATE("Target Throw-",I76,"-",Input!L76)),points11,2,)),0,VLOOKUP((CONCATENATE("Target Throw-",I76,"-",Input!L76)),points11,2,))</f>
        <v>0</v>
      </c>
      <c r="AA76">
        <f>IF(ISNA(VLOOKUP((CONCATENATE("Hi-Stepper-",I76,"-",Input!M76)),points11,2,)),0,VLOOKUP((CONCATENATE("Hi-Stepper-",I76,"-",Input!M76)),points11,2,))</f>
        <v>0</v>
      </c>
      <c r="AB76">
        <f>IF(ISNA(VLOOKUP((CONCATENATE("Chest Push-",I76,"-",Input!N76)),points11,2,)),0,VLOOKUP((CONCATENATE("Chest Push-",I76,"-",Input!N76)),points11,2,))</f>
        <v>0</v>
      </c>
      <c r="AC76">
        <f>IF(ISNA(VLOOKUP((CONCATENATE("Javelin Throw-",I76,"-",Input!O76)),points11,2,)),0,VLOOKUP((CONCATENATE("Javelin Throw-",I76,"-",Input!O76)),points11,2,))</f>
        <v>0</v>
      </c>
      <c r="AD76">
        <f t="shared" si="20"/>
        <v>0</v>
      </c>
      <c r="AE76" t="str">
        <f t="shared" si="21"/>
        <v xml:space="preserve"> </v>
      </c>
      <c r="AF76">
        <f t="shared" si="22"/>
        <v>0</v>
      </c>
      <c r="AI76">
        <v>72</v>
      </c>
    </row>
    <row r="77" spans="2:35" ht="15" thickBot="1" x14ac:dyDescent="0.4">
      <c r="B77" s="631"/>
      <c r="C77" s="520">
        <v>7</v>
      </c>
      <c r="D77" s="289">
        <v>6</v>
      </c>
      <c r="E77" s="376"/>
      <c r="F77" s="362"/>
      <c r="G77" s="377"/>
      <c r="H77" s="377"/>
      <c r="I77" s="377"/>
      <c r="J77" s="373"/>
      <c r="K77" s="374"/>
      <c r="L77" s="374"/>
      <c r="M77" s="374"/>
      <c r="N77" s="383"/>
      <c r="O77" s="495"/>
      <c r="P77" s="509">
        <f t="shared" si="12"/>
        <v>0</v>
      </c>
      <c r="Q77" s="445">
        <f t="shared" si="13"/>
        <v>0</v>
      </c>
      <c r="R77" s="445">
        <f t="shared" si="14"/>
        <v>0</v>
      </c>
      <c r="S77" s="445">
        <f t="shared" si="15"/>
        <v>0</v>
      </c>
      <c r="T77" s="445">
        <f t="shared" si="16"/>
        <v>0</v>
      </c>
      <c r="U77" s="445">
        <f t="shared" si="17"/>
        <v>0</v>
      </c>
      <c r="V77" s="445">
        <f t="shared" si="18"/>
        <v>0</v>
      </c>
      <c r="W77" s="446">
        <f t="shared" si="19"/>
        <v>0</v>
      </c>
      <c r="X77">
        <f>IF(ISNA(VLOOKUP((CONCATENATE("Standing Long Jump-",I77,"-",Input!J77)),points11,2,)),0,VLOOKUP((CONCATENATE("Standing Long Jump-",I77,"-",Input!J77)),points11,2,))</f>
        <v>0</v>
      </c>
      <c r="Y77">
        <f>IF(ISNA(VLOOKUP((CONCATENATE("Speed Bounce-",I77,"-",Input!K77)),points11,2,)),0,VLOOKUP((CONCATENATE("Speed Bounce-",I77,"-",Input!K77)),points11,2,))</f>
        <v>0</v>
      </c>
      <c r="Z77">
        <f>IF(ISNA(VLOOKUP((CONCATENATE("Target Throw-",I77,"-",Input!L77)),points11,2,)),0,VLOOKUP((CONCATENATE("Target Throw-",I77,"-",Input!L77)),points11,2,))</f>
        <v>0</v>
      </c>
      <c r="AA77">
        <f>IF(ISNA(VLOOKUP((CONCATENATE("Hi-Stepper-",I77,"-",Input!M77)),points11,2,)),0,VLOOKUP((CONCATENATE("Hi-Stepper-",I77,"-",Input!M77)),points11,2,))</f>
        <v>0</v>
      </c>
      <c r="AB77">
        <f>IF(ISNA(VLOOKUP((CONCATENATE("Chest Push-",I77,"-",Input!N77)),points11,2,)),0,VLOOKUP((CONCATENATE("Chest Push-",I77,"-",Input!N77)),points11,2,))</f>
        <v>0</v>
      </c>
      <c r="AC77">
        <f>IF(ISNA(VLOOKUP((CONCATENATE("Javelin Throw-",I77,"-",Input!O77)),points11,2,)),0,VLOOKUP((CONCATENATE("Javelin Throw-",I77,"-",Input!O77)),points11,2,))</f>
        <v>0</v>
      </c>
      <c r="AD77">
        <f t="shared" si="20"/>
        <v>0</v>
      </c>
      <c r="AE77" t="str">
        <f t="shared" si="21"/>
        <v xml:space="preserve"> </v>
      </c>
      <c r="AF77">
        <f t="shared" si="22"/>
        <v>0</v>
      </c>
      <c r="AI77">
        <v>73</v>
      </c>
    </row>
    <row r="78" spans="2:35" ht="15" thickBot="1" x14ac:dyDescent="0.4">
      <c r="B78" s="631"/>
      <c r="C78" s="520">
        <v>8</v>
      </c>
      <c r="D78" s="289">
        <v>6</v>
      </c>
      <c r="E78" s="376"/>
      <c r="F78" s="362"/>
      <c r="G78" s="372"/>
      <c r="H78" s="372"/>
      <c r="I78" s="372"/>
      <c r="J78" s="373"/>
      <c r="K78" s="374"/>
      <c r="L78" s="374"/>
      <c r="M78" s="374"/>
      <c r="N78" s="383"/>
      <c r="O78" s="495"/>
      <c r="P78" s="509">
        <f t="shared" si="12"/>
        <v>0</v>
      </c>
      <c r="Q78" s="445">
        <f t="shared" si="13"/>
        <v>0</v>
      </c>
      <c r="R78" s="445">
        <f t="shared" si="14"/>
        <v>0</v>
      </c>
      <c r="S78" s="445">
        <f t="shared" si="15"/>
        <v>0</v>
      </c>
      <c r="T78" s="445">
        <f t="shared" si="16"/>
        <v>0</v>
      </c>
      <c r="U78" s="445">
        <f t="shared" si="17"/>
        <v>0</v>
      </c>
      <c r="V78" s="445">
        <f t="shared" si="18"/>
        <v>0</v>
      </c>
      <c r="W78" s="446">
        <f t="shared" si="19"/>
        <v>0</v>
      </c>
      <c r="X78">
        <f>IF(ISNA(VLOOKUP((CONCATENATE("Standing Long Jump-",I78,"-",Input!J78)),points11,2,)),0,VLOOKUP((CONCATENATE("Standing Long Jump-",I78,"-",Input!J78)),points11,2,))</f>
        <v>0</v>
      </c>
      <c r="Y78">
        <f>IF(ISNA(VLOOKUP((CONCATENATE("Speed Bounce-",I78,"-",Input!K78)),points11,2,)),0,VLOOKUP((CONCATENATE("Speed Bounce-",I78,"-",Input!K78)),points11,2,))</f>
        <v>0</v>
      </c>
      <c r="Z78">
        <f>IF(ISNA(VLOOKUP((CONCATENATE("Target Throw-",I78,"-",Input!L78)),points11,2,)),0,VLOOKUP((CONCATENATE("Target Throw-",I78,"-",Input!L78)),points11,2,))</f>
        <v>0</v>
      </c>
      <c r="AA78">
        <f>IF(ISNA(VLOOKUP((CONCATENATE("Hi-Stepper-",I78,"-",Input!M78)),points11,2,)),0,VLOOKUP((CONCATENATE("Hi-Stepper-",I78,"-",Input!M78)),points11,2,))</f>
        <v>0</v>
      </c>
      <c r="AB78">
        <f>IF(ISNA(VLOOKUP((CONCATENATE("Chest Push-",I78,"-",Input!N78)),points11,2,)),0,VLOOKUP((CONCATENATE("Chest Push-",I78,"-",Input!N78)),points11,2,))</f>
        <v>0</v>
      </c>
      <c r="AC78">
        <f>IF(ISNA(VLOOKUP((CONCATENATE("Javelin Throw-",I78,"-",Input!O78)),points11,2,)),0,VLOOKUP((CONCATENATE("Javelin Throw-",I78,"-",Input!O78)),points11,2,))</f>
        <v>0</v>
      </c>
      <c r="AD78">
        <f t="shared" si="20"/>
        <v>0</v>
      </c>
      <c r="AE78" t="str">
        <f t="shared" si="21"/>
        <v xml:space="preserve"> </v>
      </c>
      <c r="AF78">
        <f t="shared" si="22"/>
        <v>0</v>
      </c>
      <c r="AI78">
        <v>74</v>
      </c>
    </row>
    <row r="79" spans="2:35" ht="15" thickBot="1" x14ac:dyDescent="0.4">
      <c r="B79" s="631"/>
      <c r="C79" s="520">
        <v>9</v>
      </c>
      <c r="D79" s="289">
        <v>6</v>
      </c>
      <c r="E79" s="376"/>
      <c r="F79" s="362"/>
      <c r="G79" s="372"/>
      <c r="H79" s="372"/>
      <c r="I79" s="372"/>
      <c r="J79" s="373"/>
      <c r="K79" s="374"/>
      <c r="L79" s="374"/>
      <c r="M79" s="374"/>
      <c r="N79" s="383"/>
      <c r="O79" s="495"/>
      <c r="P79" s="509">
        <f t="shared" si="12"/>
        <v>0</v>
      </c>
      <c r="Q79" s="445">
        <f t="shared" si="13"/>
        <v>0</v>
      </c>
      <c r="R79" s="445">
        <f t="shared" si="14"/>
        <v>0</v>
      </c>
      <c r="S79" s="445">
        <f t="shared" si="15"/>
        <v>0</v>
      </c>
      <c r="T79" s="445">
        <f t="shared" si="16"/>
        <v>0</v>
      </c>
      <c r="U79" s="445">
        <f t="shared" si="17"/>
        <v>0</v>
      </c>
      <c r="V79" s="445">
        <f t="shared" si="18"/>
        <v>0</v>
      </c>
      <c r="W79" s="446">
        <f t="shared" si="19"/>
        <v>0</v>
      </c>
      <c r="X79">
        <f>IF(ISNA(VLOOKUP((CONCATENATE("Standing Long Jump-",I79,"-",Input!J79)),points11,2,)),0,VLOOKUP((CONCATENATE("Standing Long Jump-",I79,"-",Input!J79)),points11,2,))</f>
        <v>0</v>
      </c>
      <c r="Y79">
        <f>IF(ISNA(VLOOKUP((CONCATENATE("Speed Bounce-",I79,"-",Input!K79)),points11,2,)),0,VLOOKUP((CONCATENATE("Speed Bounce-",I79,"-",Input!K79)),points11,2,))</f>
        <v>0</v>
      </c>
      <c r="Z79">
        <f>IF(ISNA(VLOOKUP((CONCATENATE("Target Throw-",I79,"-",Input!L79)),points11,2,)),0,VLOOKUP((CONCATENATE("Target Throw-",I79,"-",Input!L79)),points11,2,))</f>
        <v>0</v>
      </c>
      <c r="AA79">
        <f>IF(ISNA(VLOOKUP((CONCATENATE("Hi-Stepper-",I79,"-",Input!M79)),points11,2,)),0,VLOOKUP((CONCATENATE("Hi-Stepper-",I79,"-",Input!M79)),points11,2,))</f>
        <v>0</v>
      </c>
      <c r="AB79">
        <f>IF(ISNA(VLOOKUP((CONCATENATE("Chest Push-",I79,"-",Input!N79)),points11,2,)),0,VLOOKUP((CONCATENATE("Chest Push-",I79,"-",Input!N79)),points11,2,))</f>
        <v>0</v>
      </c>
      <c r="AC79">
        <f>IF(ISNA(VLOOKUP((CONCATENATE("Javelin Throw-",I79,"-",Input!O79)),points11,2,)),0,VLOOKUP((CONCATENATE("Javelin Throw-",I79,"-",Input!O79)),points11,2,))</f>
        <v>0</v>
      </c>
      <c r="AD79">
        <f t="shared" si="20"/>
        <v>0</v>
      </c>
      <c r="AE79" t="str">
        <f t="shared" si="21"/>
        <v xml:space="preserve"> </v>
      </c>
      <c r="AF79">
        <f t="shared" si="22"/>
        <v>0</v>
      </c>
      <c r="AI79">
        <v>75</v>
      </c>
    </row>
    <row r="80" spans="2:35" ht="15" thickBot="1" x14ac:dyDescent="0.4">
      <c r="B80" s="631"/>
      <c r="C80" s="520">
        <v>10</v>
      </c>
      <c r="D80" s="289">
        <v>6</v>
      </c>
      <c r="E80" s="371"/>
      <c r="F80" s="362"/>
      <c r="G80" s="372"/>
      <c r="H80" s="372"/>
      <c r="I80" s="372"/>
      <c r="J80" s="373"/>
      <c r="K80" s="374"/>
      <c r="L80" s="374"/>
      <c r="M80" s="374"/>
      <c r="N80" s="383"/>
      <c r="O80" s="495"/>
      <c r="P80" s="509">
        <f t="shared" si="12"/>
        <v>0</v>
      </c>
      <c r="Q80" s="445">
        <f t="shared" si="13"/>
        <v>0</v>
      </c>
      <c r="R80" s="445">
        <f t="shared" si="14"/>
        <v>0</v>
      </c>
      <c r="S80" s="445">
        <f t="shared" si="15"/>
        <v>0</v>
      </c>
      <c r="T80" s="445">
        <f t="shared" si="16"/>
        <v>0</v>
      </c>
      <c r="U80" s="445">
        <f t="shared" si="17"/>
        <v>0</v>
      </c>
      <c r="V80" s="445">
        <f t="shared" si="18"/>
        <v>0</v>
      </c>
      <c r="W80" s="446">
        <f t="shared" si="19"/>
        <v>0</v>
      </c>
      <c r="X80">
        <f>IF(ISNA(VLOOKUP((CONCATENATE("Standing Long Jump-",I80,"-",Input!J80)),points11,2,)),0,VLOOKUP((CONCATENATE("Standing Long Jump-",I80,"-",Input!J80)),points11,2,))</f>
        <v>0</v>
      </c>
      <c r="Y80">
        <f>IF(ISNA(VLOOKUP((CONCATENATE("Speed Bounce-",I80,"-",Input!K80)),points11,2,)),0,VLOOKUP((CONCATENATE("Speed Bounce-",I80,"-",Input!K80)),points11,2,))</f>
        <v>0</v>
      </c>
      <c r="Z80">
        <f>IF(ISNA(VLOOKUP((CONCATENATE("Target Throw-",I80,"-",Input!L80)),points11,2,)),0,VLOOKUP((CONCATENATE("Target Throw-",I80,"-",Input!L80)),points11,2,))</f>
        <v>0</v>
      </c>
      <c r="AA80">
        <f>IF(ISNA(VLOOKUP((CONCATENATE("Hi-Stepper-",I80,"-",Input!M80)),points11,2,)),0,VLOOKUP((CONCATENATE("Hi-Stepper-",I80,"-",Input!M80)),points11,2,))</f>
        <v>0</v>
      </c>
      <c r="AB80">
        <f>IF(ISNA(VLOOKUP((CONCATENATE("Chest Push-",I80,"-",Input!N80)),points11,2,)),0,VLOOKUP((CONCATENATE("Chest Push-",I80,"-",Input!N80)),points11,2,))</f>
        <v>0</v>
      </c>
      <c r="AC80">
        <f>IF(ISNA(VLOOKUP((CONCATENATE("Javelin Throw-",I80,"-",Input!O80)),points11,2,)),0,VLOOKUP((CONCATENATE("Javelin Throw-",I80,"-",Input!O80)),points11,2,))</f>
        <v>0</v>
      </c>
      <c r="AD80">
        <f t="shared" si="20"/>
        <v>0</v>
      </c>
      <c r="AE80" t="str">
        <f t="shared" si="21"/>
        <v xml:space="preserve"> </v>
      </c>
      <c r="AF80">
        <f t="shared" si="22"/>
        <v>0</v>
      </c>
      <c r="AI80">
        <v>76</v>
      </c>
    </row>
    <row r="81" spans="2:35" ht="15" thickBot="1" x14ac:dyDescent="0.4">
      <c r="B81" s="631"/>
      <c r="C81" s="520">
        <v>11</v>
      </c>
      <c r="D81" s="289">
        <v>6</v>
      </c>
      <c r="E81" s="371"/>
      <c r="F81" s="362"/>
      <c r="G81" s="372"/>
      <c r="H81" s="372"/>
      <c r="I81" s="372"/>
      <c r="J81" s="373"/>
      <c r="K81" s="374"/>
      <c r="L81" s="374"/>
      <c r="M81" s="374"/>
      <c r="N81" s="383"/>
      <c r="O81" s="495"/>
      <c r="P81" s="509">
        <f t="shared" si="12"/>
        <v>0</v>
      </c>
      <c r="Q81" s="445">
        <f t="shared" si="13"/>
        <v>0</v>
      </c>
      <c r="R81" s="445">
        <f t="shared" si="14"/>
        <v>0</v>
      </c>
      <c r="S81" s="445">
        <f t="shared" si="15"/>
        <v>0</v>
      </c>
      <c r="T81" s="445">
        <f t="shared" si="16"/>
        <v>0</v>
      </c>
      <c r="U81" s="445">
        <f t="shared" si="17"/>
        <v>0</v>
      </c>
      <c r="V81" s="445">
        <f t="shared" si="18"/>
        <v>0</v>
      </c>
      <c r="W81" s="446">
        <f t="shared" si="19"/>
        <v>0</v>
      </c>
      <c r="X81">
        <f>IF(ISNA(VLOOKUP((CONCATENATE("Standing Long Jump-",I81,"-",Input!J81)),points11,2,)),0,VLOOKUP((CONCATENATE("Standing Long Jump-",I81,"-",Input!J81)),points11,2,))</f>
        <v>0</v>
      </c>
      <c r="Y81">
        <f>IF(ISNA(VLOOKUP((CONCATENATE("Speed Bounce-",I81,"-",Input!K81)),points11,2,)),0,VLOOKUP((CONCATENATE("Speed Bounce-",I81,"-",Input!K81)),points11,2,))</f>
        <v>0</v>
      </c>
      <c r="Z81">
        <f>IF(ISNA(VLOOKUP((CONCATENATE("Target Throw-",I81,"-",Input!L81)),points11,2,)),0,VLOOKUP((CONCATENATE("Target Throw-",I81,"-",Input!L81)),points11,2,))</f>
        <v>0</v>
      </c>
      <c r="AA81">
        <f>IF(ISNA(VLOOKUP((CONCATENATE("Hi-Stepper-",I81,"-",Input!M81)),points11,2,)),0,VLOOKUP((CONCATENATE("Hi-Stepper-",I81,"-",Input!M81)),points11,2,))</f>
        <v>0</v>
      </c>
      <c r="AB81">
        <f>IF(ISNA(VLOOKUP((CONCATENATE("Chest Push-",I81,"-",Input!N81)),points11,2,)),0,VLOOKUP((CONCATENATE("Chest Push-",I81,"-",Input!N81)),points11,2,))</f>
        <v>0</v>
      </c>
      <c r="AC81">
        <f>IF(ISNA(VLOOKUP((CONCATENATE("Javelin Throw-",I81,"-",Input!O81)),points11,2,)),0,VLOOKUP((CONCATENATE("Javelin Throw-",I81,"-",Input!O81)),points11,2,))</f>
        <v>0</v>
      </c>
      <c r="AD81">
        <f t="shared" si="20"/>
        <v>0</v>
      </c>
      <c r="AE81" t="str">
        <f t="shared" si="21"/>
        <v xml:space="preserve"> </v>
      </c>
      <c r="AF81">
        <f t="shared" si="22"/>
        <v>0</v>
      </c>
      <c r="AI81">
        <v>77</v>
      </c>
    </row>
    <row r="82" spans="2:35" ht="15" thickBot="1" x14ac:dyDescent="0.4">
      <c r="B82" s="631"/>
      <c r="C82" s="520">
        <v>12</v>
      </c>
      <c r="D82" s="289">
        <v>6</v>
      </c>
      <c r="E82" s="412"/>
      <c r="F82" s="400"/>
      <c r="G82" s="413"/>
      <c r="H82" s="413"/>
      <c r="I82" s="413"/>
      <c r="J82" s="420"/>
      <c r="K82" s="413"/>
      <c r="L82" s="413"/>
      <c r="M82" s="413"/>
      <c r="N82" s="413"/>
      <c r="O82" s="498"/>
      <c r="P82" s="512">
        <f t="shared" si="12"/>
        <v>0</v>
      </c>
      <c r="Q82" s="451">
        <f t="shared" si="13"/>
        <v>0</v>
      </c>
      <c r="R82" s="451">
        <f t="shared" si="14"/>
        <v>0</v>
      </c>
      <c r="S82" s="451">
        <f t="shared" si="15"/>
        <v>0</v>
      </c>
      <c r="T82" s="451">
        <f t="shared" si="16"/>
        <v>0</v>
      </c>
      <c r="U82" s="451">
        <f t="shared" si="17"/>
        <v>0</v>
      </c>
      <c r="V82" s="451">
        <f t="shared" si="18"/>
        <v>0</v>
      </c>
      <c r="W82" s="452">
        <f t="shared" si="19"/>
        <v>0</v>
      </c>
      <c r="X82">
        <f>IF(ISNA(VLOOKUP((CONCATENATE("Standing Long Jump-",I82,"-",Input!J82)),points11,2,)),0,VLOOKUP((CONCATENATE("Standing Long Jump-",I82,"-",Input!J82)),points11,2,))</f>
        <v>0</v>
      </c>
      <c r="Y82">
        <f>IF(ISNA(VLOOKUP((CONCATENATE("Speed Bounce-",I82,"-",Input!K82)),points11,2,)),0,VLOOKUP((CONCATENATE("Speed Bounce-",I82,"-",Input!K82)),points11,2,))</f>
        <v>0</v>
      </c>
      <c r="Z82">
        <f>IF(ISNA(VLOOKUP((CONCATENATE("Target Throw-",I82,"-",Input!L82)),points11,2,)),0,VLOOKUP((CONCATENATE("Target Throw-",I82,"-",Input!L82)),points11,2,))</f>
        <v>0</v>
      </c>
      <c r="AA82">
        <f>IF(ISNA(VLOOKUP((CONCATENATE("Hi-Stepper-",I82,"-",Input!M82)),points11,2,)),0,VLOOKUP((CONCATENATE("Hi-Stepper-",I82,"-",Input!M82)),points11,2,))</f>
        <v>0</v>
      </c>
      <c r="AB82">
        <f>IF(ISNA(VLOOKUP((CONCATENATE("Chest Push-",I82,"-",Input!N82)),points11,2,)),0,VLOOKUP((CONCATENATE("Chest Push-",I82,"-",Input!N82)),points11,2,))</f>
        <v>0</v>
      </c>
      <c r="AC82">
        <f>IF(ISNA(VLOOKUP((CONCATENATE("Javelin Throw-",I82,"-",Input!O82)),points11,2,)),0,VLOOKUP((CONCATENATE("Javelin Throw-",I82,"-",Input!O82)),points11,2,))</f>
        <v>0</v>
      </c>
      <c r="AD82">
        <f t="shared" si="20"/>
        <v>0</v>
      </c>
      <c r="AE82" t="str">
        <f t="shared" si="21"/>
        <v xml:space="preserve"> </v>
      </c>
      <c r="AF82">
        <f t="shared" si="22"/>
        <v>0</v>
      </c>
      <c r="AI82">
        <v>78</v>
      </c>
    </row>
    <row r="83" spans="2:35" ht="15" thickBot="1" x14ac:dyDescent="0.4">
      <c r="B83" s="631" t="str">
        <f>'Competition Menu'!C17</f>
        <v>Team 7</v>
      </c>
      <c r="C83" s="520">
        <v>1</v>
      </c>
      <c r="D83" s="419">
        <v>7</v>
      </c>
      <c r="E83" s="462"/>
      <c r="F83" s="463"/>
      <c r="G83" s="464"/>
      <c r="H83" s="464"/>
      <c r="I83" s="464"/>
      <c r="J83" s="465"/>
      <c r="K83" s="466"/>
      <c r="L83" s="467"/>
      <c r="M83" s="467"/>
      <c r="N83" s="468"/>
      <c r="O83" s="499"/>
      <c r="P83" s="514">
        <f t="shared" si="12"/>
        <v>0</v>
      </c>
      <c r="Q83" s="469">
        <f t="shared" si="13"/>
        <v>0</v>
      </c>
      <c r="R83" s="469">
        <f t="shared" si="14"/>
        <v>0</v>
      </c>
      <c r="S83" s="469">
        <f t="shared" si="15"/>
        <v>0</v>
      </c>
      <c r="T83" s="469">
        <f t="shared" si="16"/>
        <v>0</v>
      </c>
      <c r="U83" s="469">
        <f t="shared" si="17"/>
        <v>0</v>
      </c>
      <c r="V83" s="469">
        <f t="shared" si="18"/>
        <v>0</v>
      </c>
      <c r="W83" s="470">
        <f t="shared" si="19"/>
        <v>0</v>
      </c>
      <c r="X83">
        <f>IF(ISNA(VLOOKUP((CONCATENATE("Standing Long Jump-",I83,"-",Input!J83)),points11,2,)),0,VLOOKUP((CONCATENATE("Standing Long Jump-",I83,"-",Input!J83)),points11,2,))</f>
        <v>0</v>
      </c>
      <c r="Y83">
        <f>IF(ISNA(VLOOKUP((CONCATENATE("Speed Bounce-",I83,"-",Input!K83)),points11,2,)),0,VLOOKUP((CONCATENATE("Speed Bounce-",I83,"-",Input!K83)),points11,2,))</f>
        <v>0</v>
      </c>
      <c r="Z83">
        <f>IF(ISNA(VLOOKUP((CONCATENATE("Target Throw-",I83,"-",Input!L83)),points11,2,)),0,VLOOKUP((CONCATENATE("Target Throw-",I83,"-",Input!L83)),points11,2,))</f>
        <v>0</v>
      </c>
      <c r="AA83">
        <f>IF(ISNA(VLOOKUP((CONCATENATE("Hi-Stepper-",I83,"-",Input!M83)),points11,2,)),0,VLOOKUP((CONCATENATE("Hi-Stepper-",I83,"-",Input!M83)),points11,2,))</f>
        <v>0</v>
      </c>
      <c r="AB83">
        <f>IF(ISNA(VLOOKUP((CONCATENATE("Chest Push-",I83,"-",Input!N83)),points11,2,)),0,VLOOKUP((CONCATENATE("Chest Push-",I83,"-",Input!N83)),points11,2,))</f>
        <v>0</v>
      </c>
      <c r="AC83">
        <f>IF(ISNA(VLOOKUP((CONCATENATE("Javelin Throw-",I83,"-",Input!O83)),points11,2,)),0,VLOOKUP((CONCATENATE("Javelin Throw-",I83,"-",Input!O83)),points11,2,))</f>
        <v>0</v>
      </c>
      <c r="AD83">
        <f t="shared" si="20"/>
        <v>0</v>
      </c>
      <c r="AE83" t="str">
        <f t="shared" si="21"/>
        <v xml:space="preserve"> </v>
      </c>
      <c r="AF83">
        <f t="shared" si="22"/>
        <v>0</v>
      </c>
      <c r="AI83">
        <v>80</v>
      </c>
    </row>
    <row r="84" spans="2:35" ht="15" thickBot="1" x14ac:dyDescent="0.4">
      <c r="B84" s="631"/>
      <c r="C84" s="520">
        <v>2</v>
      </c>
      <c r="D84" s="419">
        <v>7</v>
      </c>
      <c r="E84" s="427"/>
      <c r="F84" s="362"/>
      <c r="G84" s="388"/>
      <c r="H84" s="388"/>
      <c r="I84" s="388"/>
      <c r="J84" s="389"/>
      <c r="K84" s="390"/>
      <c r="L84" s="391"/>
      <c r="M84" s="391"/>
      <c r="N84" s="392"/>
      <c r="O84" s="500"/>
      <c r="P84" s="509">
        <f t="shared" si="12"/>
        <v>0</v>
      </c>
      <c r="Q84" s="445">
        <f t="shared" si="13"/>
        <v>0</v>
      </c>
      <c r="R84" s="445">
        <f t="shared" si="14"/>
        <v>0</v>
      </c>
      <c r="S84" s="445">
        <f t="shared" si="15"/>
        <v>0</v>
      </c>
      <c r="T84" s="445">
        <f t="shared" si="16"/>
        <v>0</v>
      </c>
      <c r="U84" s="445">
        <f t="shared" si="17"/>
        <v>0</v>
      </c>
      <c r="V84" s="445">
        <f t="shared" si="18"/>
        <v>0</v>
      </c>
      <c r="W84" s="446">
        <f t="shared" si="19"/>
        <v>0</v>
      </c>
      <c r="X84">
        <f>IF(ISNA(VLOOKUP((CONCATENATE("Standing Long Jump-",I84,"-",Input!J84)),points11,2,)),0,VLOOKUP((CONCATENATE("Standing Long Jump-",I84,"-",Input!J84)),points11,2,))</f>
        <v>0</v>
      </c>
      <c r="Y84">
        <f>IF(ISNA(VLOOKUP((CONCATENATE("Speed Bounce-",I84,"-",Input!K84)),points11,2,)),0,VLOOKUP((CONCATENATE("Speed Bounce-",I84,"-",Input!K84)),points11,2,))</f>
        <v>0</v>
      </c>
      <c r="Z84">
        <f>IF(ISNA(VLOOKUP((CONCATENATE("Target Throw-",I84,"-",Input!L84)),points11,2,)),0,VLOOKUP((CONCATENATE("Target Throw-",I84,"-",Input!L84)),points11,2,))</f>
        <v>0</v>
      </c>
      <c r="AA84">
        <f>IF(ISNA(VLOOKUP((CONCATENATE("Hi-Stepper-",I84,"-",Input!M84)),points11,2,)),0,VLOOKUP((CONCATENATE("Hi-Stepper-",I84,"-",Input!M84)),points11,2,))</f>
        <v>0</v>
      </c>
      <c r="AB84">
        <f>IF(ISNA(VLOOKUP((CONCATENATE("Chest Push-",I84,"-",Input!N84)),points11,2,)),0,VLOOKUP((CONCATENATE("Chest Push-",I84,"-",Input!N84)),points11,2,))</f>
        <v>0</v>
      </c>
      <c r="AC84">
        <f>IF(ISNA(VLOOKUP((CONCATENATE("Javelin Throw-",I84,"-",Input!O84)),points11,2,)),0,VLOOKUP((CONCATENATE("Javelin Throw-",I84,"-",Input!O84)),points11,2,))</f>
        <v>0</v>
      </c>
      <c r="AD84">
        <f t="shared" si="20"/>
        <v>0</v>
      </c>
      <c r="AE84" t="str">
        <f t="shared" si="21"/>
        <v xml:space="preserve"> </v>
      </c>
      <c r="AF84">
        <f t="shared" si="22"/>
        <v>0</v>
      </c>
    </row>
    <row r="85" spans="2:35" ht="15" thickBot="1" x14ac:dyDescent="0.4">
      <c r="B85" s="631"/>
      <c r="C85" s="520">
        <v>3</v>
      </c>
      <c r="D85" s="419">
        <v>7</v>
      </c>
      <c r="E85" s="427"/>
      <c r="F85" s="362"/>
      <c r="G85" s="388"/>
      <c r="H85" s="388"/>
      <c r="I85" s="388"/>
      <c r="J85" s="389"/>
      <c r="K85" s="390"/>
      <c r="L85" s="391"/>
      <c r="M85" s="391"/>
      <c r="N85" s="392"/>
      <c r="O85" s="500"/>
      <c r="P85" s="509">
        <f t="shared" si="12"/>
        <v>0</v>
      </c>
      <c r="Q85" s="445">
        <f t="shared" si="13"/>
        <v>0</v>
      </c>
      <c r="R85" s="445">
        <f t="shared" si="14"/>
        <v>0</v>
      </c>
      <c r="S85" s="445">
        <f t="shared" si="15"/>
        <v>0</v>
      </c>
      <c r="T85" s="445">
        <f t="shared" si="16"/>
        <v>0</v>
      </c>
      <c r="U85" s="445">
        <f t="shared" si="17"/>
        <v>0</v>
      </c>
      <c r="V85" s="445">
        <f t="shared" si="18"/>
        <v>0</v>
      </c>
      <c r="W85" s="446">
        <f t="shared" si="19"/>
        <v>0</v>
      </c>
      <c r="X85">
        <f>IF(ISNA(VLOOKUP((CONCATENATE("Standing Long Jump-",I85,"-",Input!J85)),points11,2,)),0,VLOOKUP((CONCATENATE("Standing Long Jump-",I85,"-",Input!J85)),points11,2,))</f>
        <v>0</v>
      </c>
      <c r="Y85">
        <f>IF(ISNA(VLOOKUP((CONCATENATE("Speed Bounce-",I85,"-",Input!K85)),points11,2,)),0,VLOOKUP((CONCATENATE("Speed Bounce-",I85,"-",Input!K85)),points11,2,))</f>
        <v>0</v>
      </c>
      <c r="Z85">
        <f>IF(ISNA(VLOOKUP((CONCATENATE("Target Throw-",I85,"-",Input!L85)),points11,2,)),0,VLOOKUP((CONCATENATE("Target Throw-",I85,"-",Input!L85)),points11,2,))</f>
        <v>0</v>
      </c>
      <c r="AA85">
        <f>IF(ISNA(VLOOKUP((CONCATENATE("Hi-Stepper-",I85,"-",Input!M85)),points11,2,)),0,VLOOKUP((CONCATENATE("Hi-Stepper-",I85,"-",Input!M85)),points11,2,))</f>
        <v>0</v>
      </c>
      <c r="AB85">
        <f>IF(ISNA(VLOOKUP((CONCATENATE("Chest Push-",I85,"-",Input!N85)),points11,2,)),0,VLOOKUP((CONCATENATE("Chest Push-",I85,"-",Input!N85)),points11,2,))</f>
        <v>0</v>
      </c>
      <c r="AC85">
        <f>IF(ISNA(VLOOKUP((CONCATENATE("Javelin Throw-",I85,"-",Input!O85)),points11,2,)),0,VLOOKUP((CONCATENATE("Javelin Throw-",I85,"-",Input!O85)),points11,2,))</f>
        <v>0</v>
      </c>
      <c r="AD85">
        <f t="shared" si="20"/>
        <v>0</v>
      </c>
      <c r="AE85" t="str">
        <f t="shared" si="21"/>
        <v xml:space="preserve"> </v>
      </c>
      <c r="AF85">
        <f t="shared" si="22"/>
        <v>0</v>
      </c>
    </row>
    <row r="86" spans="2:35" ht="15" thickBot="1" x14ac:dyDescent="0.4">
      <c r="B86" s="631"/>
      <c r="C86" s="520">
        <v>4</v>
      </c>
      <c r="D86" s="419">
        <v>7</v>
      </c>
      <c r="E86" s="427"/>
      <c r="F86" s="362"/>
      <c r="G86" s="388"/>
      <c r="H86" s="388"/>
      <c r="I86" s="388"/>
      <c r="J86" s="389"/>
      <c r="K86" s="390"/>
      <c r="L86" s="391"/>
      <c r="M86" s="391"/>
      <c r="N86" s="392"/>
      <c r="O86" s="500"/>
      <c r="P86" s="509">
        <f t="shared" si="12"/>
        <v>0</v>
      </c>
      <c r="Q86" s="445">
        <f t="shared" si="13"/>
        <v>0</v>
      </c>
      <c r="R86" s="445">
        <f t="shared" si="14"/>
        <v>0</v>
      </c>
      <c r="S86" s="445">
        <f t="shared" si="15"/>
        <v>0</v>
      </c>
      <c r="T86" s="445">
        <f t="shared" si="16"/>
        <v>0</v>
      </c>
      <c r="U86" s="445">
        <f t="shared" si="17"/>
        <v>0</v>
      </c>
      <c r="V86" s="445">
        <f t="shared" si="18"/>
        <v>0</v>
      </c>
      <c r="W86" s="446">
        <f t="shared" si="19"/>
        <v>0</v>
      </c>
      <c r="X86">
        <f>IF(ISNA(VLOOKUP((CONCATENATE("Standing Long Jump-",I86,"-",Input!J86)),points11,2,)),0,VLOOKUP((CONCATENATE("Standing Long Jump-",I86,"-",Input!J86)),points11,2,))</f>
        <v>0</v>
      </c>
      <c r="Y86">
        <f>IF(ISNA(VLOOKUP((CONCATENATE("Speed Bounce-",I86,"-",Input!K86)),points11,2,)),0,VLOOKUP((CONCATENATE("Speed Bounce-",I86,"-",Input!K86)),points11,2,))</f>
        <v>0</v>
      </c>
      <c r="Z86">
        <f>IF(ISNA(VLOOKUP((CONCATENATE("Target Throw-",I86,"-",Input!L86)),points11,2,)),0,VLOOKUP((CONCATENATE("Target Throw-",I86,"-",Input!L86)),points11,2,))</f>
        <v>0</v>
      </c>
      <c r="AA86">
        <f>IF(ISNA(VLOOKUP((CONCATENATE("Hi-Stepper-",I86,"-",Input!M86)),points11,2,)),0,VLOOKUP((CONCATENATE("Hi-Stepper-",I86,"-",Input!M86)),points11,2,))</f>
        <v>0</v>
      </c>
      <c r="AB86">
        <f>IF(ISNA(VLOOKUP((CONCATENATE("Chest Push-",I86,"-",Input!N86)),points11,2,)),0,VLOOKUP((CONCATENATE("Chest Push-",I86,"-",Input!N86)),points11,2,))</f>
        <v>0</v>
      </c>
      <c r="AC86">
        <f>IF(ISNA(VLOOKUP((CONCATENATE("Javelin Throw-",I86,"-",Input!O86)),points11,2,)),0,VLOOKUP((CONCATENATE("Javelin Throw-",I86,"-",Input!O86)),points11,2,))</f>
        <v>0</v>
      </c>
      <c r="AD86">
        <f t="shared" si="20"/>
        <v>0</v>
      </c>
      <c r="AE86" t="str">
        <f t="shared" si="21"/>
        <v xml:space="preserve"> </v>
      </c>
      <c r="AF86">
        <f t="shared" si="22"/>
        <v>0</v>
      </c>
    </row>
    <row r="87" spans="2:35" ht="15" thickBot="1" x14ac:dyDescent="0.4">
      <c r="B87" s="631"/>
      <c r="C87" s="520">
        <v>5</v>
      </c>
      <c r="D87" s="419">
        <v>7</v>
      </c>
      <c r="E87" s="427"/>
      <c r="F87" s="362"/>
      <c r="G87" s="388"/>
      <c r="H87" s="388"/>
      <c r="I87" s="388"/>
      <c r="J87" s="389"/>
      <c r="K87" s="390"/>
      <c r="L87" s="391"/>
      <c r="M87" s="391"/>
      <c r="N87" s="392"/>
      <c r="O87" s="500"/>
      <c r="P87" s="509">
        <f t="shared" si="12"/>
        <v>0</v>
      </c>
      <c r="Q87" s="445">
        <f t="shared" si="13"/>
        <v>0</v>
      </c>
      <c r="R87" s="445">
        <f t="shared" si="14"/>
        <v>0</v>
      </c>
      <c r="S87" s="445">
        <f t="shared" si="15"/>
        <v>0</v>
      </c>
      <c r="T87" s="445">
        <f t="shared" si="16"/>
        <v>0</v>
      </c>
      <c r="U87" s="445">
        <f t="shared" si="17"/>
        <v>0</v>
      </c>
      <c r="V87" s="445">
        <f t="shared" si="18"/>
        <v>0</v>
      </c>
      <c r="W87" s="446">
        <f t="shared" si="19"/>
        <v>0</v>
      </c>
      <c r="X87">
        <f>IF(ISNA(VLOOKUP((CONCATENATE("Standing Long Jump-",I87,"-",Input!J87)),points11,2,)),0,VLOOKUP((CONCATENATE("Standing Long Jump-",I87,"-",Input!J87)),points11,2,))</f>
        <v>0</v>
      </c>
      <c r="Y87">
        <f>IF(ISNA(VLOOKUP((CONCATENATE("Speed Bounce-",I87,"-",Input!K87)),points11,2,)),0,VLOOKUP((CONCATENATE("Speed Bounce-",I87,"-",Input!K87)),points11,2,))</f>
        <v>0</v>
      </c>
      <c r="Z87">
        <f>IF(ISNA(VLOOKUP((CONCATENATE("Target Throw-",I87,"-",Input!L87)),points11,2,)),0,VLOOKUP((CONCATENATE("Target Throw-",I87,"-",Input!L87)),points11,2,))</f>
        <v>0</v>
      </c>
      <c r="AA87">
        <f>IF(ISNA(VLOOKUP((CONCATENATE("Hi-Stepper-",I87,"-",Input!M87)),points11,2,)),0,VLOOKUP((CONCATENATE("Hi-Stepper-",I87,"-",Input!M87)),points11,2,))</f>
        <v>0</v>
      </c>
      <c r="AB87">
        <f>IF(ISNA(VLOOKUP((CONCATENATE("Chest Push-",I87,"-",Input!N87)),points11,2,)),0,VLOOKUP((CONCATENATE("Chest Push-",I87,"-",Input!N87)),points11,2,))</f>
        <v>0</v>
      </c>
      <c r="AC87">
        <f>IF(ISNA(VLOOKUP((CONCATENATE("Javelin Throw-",I87,"-",Input!O87)),points11,2,)),0,VLOOKUP((CONCATENATE("Javelin Throw-",I87,"-",Input!O87)),points11,2,))</f>
        <v>0</v>
      </c>
      <c r="AD87">
        <f t="shared" si="20"/>
        <v>0</v>
      </c>
      <c r="AE87" t="str">
        <f t="shared" si="21"/>
        <v xml:space="preserve"> </v>
      </c>
      <c r="AF87">
        <f t="shared" si="22"/>
        <v>0</v>
      </c>
    </row>
    <row r="88" spans="2:35" ht="15" thickBot="1" x14ac:dyDescent="0.4">
      <c r="B88" s="631"/>
      <c r="C88" s="520">
        <v>6</v>
      </c>
      <c r="D88" s="419">
        <v>7</v>
      </c>
      <c r="E88" s="427"/>
      <c r="F88" s="362"/>
      <c r="G88" s="388"/>
      <c r="H88" s="388"/>
      <c r="I88" s="388"/>
      <c r="J88" s="389"/>
      <c r="K88" s="390"/>
      <c r="L88" s="391"/>
      <c r="M88" s="391"/>
      <c r="N88" s="392"/>
      <c r="O88" s="500"/>
      <c r="P88" s="509">
        <f t="shared" si="12"/>
        <v>0</v>
      </c>
      <c r="Q88" s="445">
        <f t="shared" si="13"/>
        <v>0</v>
      </c>
      <c r="R88" s="445">
        <f t="shared" si="14"/>
        <v>0</v>
      </c>
      <c r="S88" s="445">
        <f t="shared" si="15"/>
        <v>0</v>
      </c>
      <c r="T88" s="445">
        <f t="shared" si="16"/>
        <v>0</v>
      </c>
      <c r="U88" s="445">
        <f t="shared" si="17"/>
        <v>0</v>
      </c>
      <c r="V88" s="445">
        <f t="shared" si="18"/>
        <v>0</v>
      </c>
      <c r="W88" s="446">
        <f t="shared" si="19"/>
        <v>0</v>
      </c>
      <c r="X88">
        <f>IF(ISNA(VLOOKUP((CONCATENATE("Standing Long Jump-",I88,"-",Input!J88)),points11,2,)),0,VLOOKUP((CONCATENATE("Standing Long Jump-",I88,"-",Input!J88)),points11,2,))</f>
        <v>0</v>
      </c>
      <c r="Y88">
        <f>IF(ISNA(VLOOKUP((CONCATENATE("Speed Bounce-",I88,"-",Input!K88)),points11,2,)),0,VLOOKUP((CONCATENATE("Speed Bounce-",I88,"-",Input!K88)),points11,2,))</f>
        <v>0</v>
      </c>
      <c r="Z88">
        <f>IF(ISNA(VLOOKUP((CONCATENATE("Target Throw-",I88,"-",Input!L88)),points11,2,)),0,VLOOKUP((CONCATENATE("Target Throw-",I88,"-",Input!L88)),points11,2,))</f>
        <v>0</v>
      </c>
      <c r="AA88">
        <f>IF(ISNA(VLOOKUP((CONCATENATE("Hi-Stepper-",I88,"-",Input!M88)),points11,2,)),0,VLOOKUP((CONCATENATE("Hi-Stepper-",I88,"-",Input!M88)),points11,2,))</f>
        <v>0</v>
      </c>
      <c r="AB88">
        <f>IF(ISNA(VLOOKUP((CONCATENATE("Chest Push-",I88,"-",Input!N88)),points11,2,)),0,VLOOKUP((CONCATENATE("Chest Push-",I88,"-",Input!N88)),points11,2,))</f>
        <v>0</v>
      </c>
      <c r="AC88">
        <f>IF(ISNA(VLOOKUP((CONCATENATE("Javelin Throw-",I88,"-",Input!O88)),points11,2,)),0,VLOOKUP((CONCATENATE("Javelin Throw-",I88,"-",Input!O88)),points11,2,))</f>
        <v>0</v>
      </c>
      <c r="AD88">
        <f t="shared" si="20"/>
        <v>0</v>
      </c>
      <c r="AE88" t="str">
        <f t="shared" si="21"/>
        <v xml:space="preserve"> </v>
      </c>
      <c r="AF88">
        <f t="shared" si="22"/>
        <v>0</v>
      </c>
    </row>
    <row r="89" spans="2:35" ht="15" thickBot="1" x14ac:dyDescent="0.4">
      <c r="B89" s="631"/>
      <c r="C89" s="520">
        <v>7</v>
      </c>
      <c r="D89" s="419">
        <v>7</v>
      </c>
      <c r="E89" s="427"/>
      <c r="F89" s="362"/>
      <c r="G89" s="388"/>
      <c r="H89" s="388"/>
      <c r="I89" s="388"/>
      <c r="J89" s="389"/>
      <c r="K89" s="390"/>
      <c r="L89" s="391"/>
      <c r="M89" s="391"/>
      <c r="N89" s="392"/>
      <c r="O89" s="500"/>
      <c r="P89" s="509">
        <f t="shared" si="12"/>
        <v>0</v>
      </c>
      <c r="Q89" s="445">
        <f t="shared" si="13"/>
        <v>0</v>
      </c>
      <c r="R89" s="445">
        <f t="shared" si="14"/>
        <v>0</v>
      </c>
      <c r="S89" s="445">
        <f t="shared" si="15"/>
        <v>0</v>
      </c>
      <c r="T89" s="445">
        <f t="shared" si="16"/>
        <v>0</v>
      </c>
      <c r="U89" s="445">
        <f t="shared" si="17"/>
        <v>0</v>
      </c>
      <c r="V89" s="445">
        <f t="shared" si="18"/>
        <v>0</v>
      </c>
      <c r="W89" s="446">
        <f t="shared" si="19"/>
        <v>0</v>
      </c>
      <c r="X89">
        <f>IF(ISNA(VLOOKUP((CONCATENATE("Standing Long Jump-",I89,"-",Input!J89)),points11,2,)),0,VLOOKUP((CONCATENATE("Standing Long Jump-",I89,"-",Input!J89)),points11,2,))</f>
        <v>0</v>
      </c>
      <c r="Y89">
        <f>IF(ISNA(VLOOKUP((CONCATENATE("Speed Bounce-",I89,"-",Input!K89)),points11,2,)),0,VLOOKUP((CONCATENATE("Speed Bounce-",I89,"-",Input!K89)),points11,2,))</f>
        <v>0</v>
      </c>
      <c r="Z89">
        <f>IF(ISNA(VLOOKUP((CONCATENATE("Target Throw-",I89,"-",Input!L89)),points11,2,)),0,VLOOKUP((CONCATENATE("Target Throw-",I89,"-",Input!L89)),points11,2,))</f>
        <v>0</v>
      </c>
      <c r="AA89">
        <f>IF(ISNA(VLOOKUP((CONCATENATE("Hi-Stepper-",I89,"-",Input!M89)),points11,2,)),0,VLOOKUP((CONCATENATE("Hi-Stepper-",I89,"-",Input!M89)),points11,2,))</f>
        <v>0</v>
      </c>
      <c r="AB89">
        <f>IF(ISNA(VLOOKUP((CONCATENATE("Chest Push-",I89,"-",Input!N89)),points11,2,)),0,VLOOKUP((CONCATENATE("Chest Push-",I89,"-",Input!N89)),points11,2,))</f>
        <v>0</v>
      </c>
      <c r="AC89">
        <f>IF(ISNA(VLOOKUP((CONCATENATE("Javelin Throw-",I89,"-",Input!O89)),points11,2,)),0,VLOOKUP((CONCATENATE("Javelin Throw-",I89,"-",Input!O89)),points11,2,))</f>
        <v>0</v>
      </c>
      <c r="AD89">
        <f t="shared" si="20"/>
        <v>0</v>
      </c>
      <c r="AE89" t="str">
        <f t="shared" si="21"/>
        <v xml:space="preserve"> </v>
      </c>
      <c r="AF89">
        <f t="shared" si="22"/>
        <v>0</v>
      </c>
    </row>
    <row r="90" spans="2:35" ht="15" thickBot="1" x14ac:dyDescent="0.4">
      <c r="B90" s="631"/>
      <c r="C90" s="520">
        <v>8</v>
      </c>
      <c r="D90" s="419">
        <v>7</v>
      </c>
      <c r="E90" s="427"/>
      <c r="F90" s="362"/>
      <c r="G90" s="388"/>
      <c r="H90" s="388"/>
      <c r="I90" s="388"/>
      <c r="J90" s="389"/>
      <c r="K90" s="390"/>
      <c r="L90" s="390"/>
      <c r="M90" s="390"/>
      <c r="N90" s="392"/>
      <c r="O90" s="500"/>
      <c r="P90" s="509">
        <f t="shared" si="12"/>
        <v>0</v>
      </c>
      <c r="Q90" s="445">
        <f t="shared" si="13"/>
        <v>0</v>
      </c>
      <c r="R90" s="445">
        <f t="shared" si="14"/>
        <v>0</v>
      </c>
      <c r="S90" s="445">
        <f t="shared" si="15"/>
        <v>0</v>
      </c>
      <c r="T90" s="445">
        <f t="shared" si="16"/>
        <v>0</v>
      </c>
      <c r="U90" s="445">
        <f t="shared" si="17"/>
        <v>0</v>
      </c>
      <c r="V90" s="445">
        <f t="shared" si="18"/>
        <v>0</v>
      </c>
      <c r="W90" s="446">
        <f t="shared" si="19"/>
        <v>0</v>
      </c>
      <c r="X90">
        <f>IF(ISNA(VLOOKUP((CONCATENATE("Standing Long Jump-",I90,"-",Input!J90)),points11,2,)),0,VLOOKUP((CONCATENATE("Standing Long Jump-",I90,"-",Input!J90)),points11,2,))</f>
        <v>0</v>
      </c>
      <c r="Y90">
        <f>IF(ISNA(VLOOKUP((CONCATENATE("Speed Bounce-",I90,"-",Input!K90)),points11,2,)),0,VLOOKUP((CONCATENATE("Speed Bounce-",I90,"-",Input!K90)),points11,2,))</f>
        <v>0</v>
      </c>
      <c r="Z90">
        <f>IF(ISNA(VLOOKUP((CONCATENATE("Target Throw-",I90,"-",Input!L90)),points11,2,)),0,VLOOKUP((CONCATENATE("Target Throw-",I90,"-",Input!L90)),points11,2,))</f>
        <v>0</v>
      </c>
      <c r="AA90">
        <f>IF(ISNA(VLOOKUP((CONCATENATE("Hi-Stepper-",I90,"-",Input!M90)),points11,2,)),0,VLOOKUP((CONCATENATE("Hi-Stepper-",I90,"-",Input!M90)),points11,2,))</f>
        <v>0</v>
      </c>
      <c r="AB90">
        <f>IF(ISNA(VLOOKUP((CONCATENATE("Chest Push-",I90,"-",Input!N90)),points11,2,)),0,VLOOKUP((CONCATENATE("Chest Push-",I90,"-",Input!N90)),points11,2,))</f>
        <v>0</v>
      </c>
      <c r="AC90">
        <f>IF(ISNA(VLOOKUP((CONCATENATE("Javelin Throw-",I90,"-",Input!O90)),points11,2,)),0,VLOOKUP((CONCATENATE("Javelin Throw-",I90,"-",Input!O90)),points11,2,))</f>
        <v>0</v>
      </c>
      <c r="AD90">
        <f t="shared" si="20"/>
        <v>0</v>
      </c>
      <c r="AE90" t="str">
        <f t="shared" si="21"/>
        <v xml:space="preserve"> </v>
      </c>
      <c r="AF90">
        <f t="shared" si="22"/>
        <v>0</v>
      </c>
    </row>
    <row r="91" spans="2:35" ht="15" thickBot="1" x14ac:dyDescent="0.4">
      <c r="B91" s="631"/>
      <c r="C91" s="520">
        <v>9</v>
      </c>
      <c r="D91" s="419">
        <v>7</v>
      </c>
      <c r="E91" s="427"/>
      <c r="F91" s="362"/>
      <c r="G91" s="388"/>
      <c r="H91" s="388"/>
      <c r="I91" s="388"/>
      <c r="J91" s="389"/>
      <c r="K91" s="390"/>
      <c r="L91" s="390"/>
      <c r="M91" s="390"/>
      <c r="N91" s="392"/>
      <c r="O91" s="500"/>
      <c r="P91" s="509">
        <f t="shared" si="12"/>
        <v>0</v>
      </c>
      <c r="Q91" s="445">
        <f t="shared" si="13"/>
        <v>0</v>
      </c>
      <c r="R91" s="445">
        <f t="shared" si="14"/>
        <v>0</v>
      </c>
      <c r="S91" s="445">
        <f t="shared" si="15"/>
        <v>0</v>
      </c>
      <c r="T91" s="445">
        <f t="shared" si="16"/>
        <v>0</v>
      </c>
      <c r="U91" s="445">
        <f t="shared" si="17"/>
        <v>0</v>
      </c>
      <c r="V91" s="445">
        <f t="shared" si="18"/>
        <v>0</v>
      </c>
      <c r="W91" s="446">
        <f t="shared" si="19"/>
        <v>0</v>
      </c>
      <c r="X91">
        <f>IF(ISNA(VLOOKUP((CONCATENATE("Standing Long Jump-",I91,"-",Input!J91)),points11,2,)),0,VLOOKUP((CONCATENATE("Standing Long Jump-",I91,"-",Input!J91)),points11,2,))</f>
        <v>0</v>
      </c>
      <c r="Y91">
        <f>IF(ISNA(VLOOKUP((CONCATENATE("Speed Bounce-",I91,"-",Input!K91)),points11,2,)),0,VLOOKUP((CONCATENATE("Speed Bounce-",I91,"-",Input!K91)),points11,2,))</f>
        <v>0</v>
      </c>
      <c r="Z91">
        <f>IF(ISNA(VLOOKUP((CONCATENATE("Target Throw-",I91,"-",Input!L91)),points11,2,)),0,VLOOKUP((CONCATENATE("Target Throw-",I91,"-",Input!L91)),points11,2,))</f>
        <v>0</v>
      </c>
      <c r="AA91">
        <f>IF(ISNA(VLOOKUP((CONCATENATE("Hi-Stepper-",I91,"-",Input!M91)),points11,2,)),0,VLOOKUP((CONCATENATE("Hi-Stepper-",I91,"-",Input!M91)),points11,2,))</f>
        <v>0</v>
      </c>
      <c r="AB91">
        <f>IF(ISNA(VLOOKUP((CONCATENATE("Chest Push-",I91,"-",Input!N91)),points11,2,)),0,VLOOKUP((CONCATENATE("Chest Push-",I91,"-",Input!N91)),points11,2,))</f>
        <v>0</v>
      </c>
      <c r="AC91">
        <f>IF(ISNA(VLOOKUP((CONCATENATE("Javelin Throw-",I91,"-",Input!O91)),points11,2,)),0,VLOOKUP((CONCATENATE("Javelin Throw-",I91,"-",Input!O91)),points11,2,))</f>
        <v>0</v>
      </c>
      <c r="AD91">
        <f t="shared" si="20"/>
        <v>0</v>
      </c>
      <c r="AE91" t="str">
        <f t="shared" si="21"/>
        <v xml:space="preserve"> </v>
      </c>
      <c r="AF91">
        <f t="shared" si="22"/>
        <v>0</v>
      </c>
    </row>
    <row r="92" spans="2:35" ht="15" thickBot="1" x14ac:dyDescent="0.4">
      <c r="B92" s="631"/>
      <c r="C92" s="520">
        <v>10</v>
      </c>
      <c r="D92" s="419">
        <v>7</v>
      </c>
      <c r="E92" s="427"/>
      <c r="F92" s="362"/>
      <c r="G92" s="388"/>
      <c r="H92" s="388"/>
      <c r="I92" s="388"/>
      <c r="J92" s="389"/>
      <c r="K92" s="390"/>
      <c r="L92" s="391"/>
      <c r="M92" s="390"/>
      <c r="N92" s="392"/>
      <c r="O92" s="500"/>
      <c r="P92" s="509">
        <f t="shared" si="12"/>
        <v>0</v>
      </c>
      <c r="Q92" s="445">
        <f t="shared" si="13"/>
        <v>0</v>
      </c>
      <c r="R92" s="445">
        <f t="shared" si="14"/>
        <v>0</v>
      </c>
      <c r="S92" s="445">
        <f t="shared" si="15"/>
        <v>0</v>
      </c>
      <c r="T92" s="445">
        <f t="shared" si="16"/>
        <v>0</v>
      </c>
      <c r="U92" s="445">
        <f t="shared" si="17"/>
        <v>0</v>
      </c>
      <c r="V92" s="445">
        <f t="shared" si="18"/>
        <v>0</v>
      </c>
      <c r="W92" s="446">
        <f t="shared" si="19"/>
        <v>0</v>
      </c>
      <c r="X92">
        <f>IF(ISNA(VLOOKUP((CONCATENATE("Standing Long Jump-",I92,"-",Input!J92)),points11,2,)),0,VLOOKUP((CONCATENATE("Standing Long Jump-",I92,"-",Input!J92)),points11,2,))</f>
        <v>0</v>
      </c>
      <c r="Y92">
        <f>IF(ISNA(VLOOKUP((CONCATENATE("Speed Bounce-",I92,"-",Input!K92)),points11,2,)),0,VLOOKUP((CONCATENATE("Speed Bounce-",I92,"-",Input!K92)),points11,2,))</f>
        <v>0</v>
      </c>
      <c r="Z92">
        <f>IF(ISNA(VLOOKUP((CONCATENATE("Target Throw-",I92,"-",Input!L92)),points11,2,)),0,VLOOKUP((CONCATENATE("Target Throw-",I92,"-",Input!L92)),points11,2,))</f>
        <v>0</v>
      </c>
      <c r="AA92">
        <f>IF(ISNA(VLOOKUP((CONCATENATE("Hi-Stepper-",I92,"-",Input!M92)),points11,2,)),0,VLOOKUP((CONCATENATE("Hi-Stepper-",I92,"-",Input!M92)),points11,2,))</f>
        <v>0</v>
      </c>
      <c r="AB92">
        <f>IF(ISNA(VLOOKUP((CONCATENATE("Chest Push-",I92,"-",Input!N92)),points11,2,)),0,VLOOKUP((CONCATENATE("Chest Push-",I92,"-",Input!N92)),points11,2,))</f>
        <v>0</v>
      </c>
      <c r="AC92">
        <f>IF(ISNA(VLOOKUP((CONCATENATE("Javelin Throw-",I92,"-",Input!O92)),points11,2,)),0,VLOOKUP((CONCATENATE("Javelin Throw-",I92,"-",Input!O92)),points11,2,))</f>
        <v>0</v>
      </c>
      <c r="AD92">
        <f t="shared" si="20"/>
        <v>0</v>
      </c>
      <c r="AE92" t="str">
        <f t="shared" si="21"/>
        <v xml:space="preserve"> </v>
      </c>
      <c r="AF92">
        <f t="shared" si="22"/>
        <v>0</v>
      </c>
    </row>
    <row r="93" spans="2:35" ht="15" thickBot="1" x14ac:dyDescent="0.4">
      <c r="B93" s="631"/>
      <c r="C93" s="520">
        <v>11</v>
      </c>
      <c r="D93" s="419">
        <v>7</v>
      </c>
      <c r="E93" s="427"/>
      <c r="F93" s="362"/>
      <c r="G93" s="388"/>
      <c r="H93" s="388"/>
      <c r="I93" s="388"/>
      <c r="J93" s="389"/>
      <c r="K93" s="390"/>
      <c r="L93" s="391"/>
      <c r="M93" s="390"/>
      <c r="N93" s="392"/>
      <c r="O93" s="500"/>
      <c r="P93" s="509">
        <f t="shared" si="12"/>
        <v>0</v>
      </c>
      <c r="Q93" s="445">
        <f t="shared" si="13"/>
        <v>0</v>
      </c>
      <c r="R93" s="445">
        <f t="shared" si="14"/>
        <v>0</v>
      </c>
      <c r="S93" s="445">
        <f t="shared" si="15"/>
        <v>0</v>
      </c>
      <c r="T93" s="445">
        <f t="shared" si="16"/>
        <v>0</v>
      </c>
      <c r="U93" s="445">
        <f t="shared" si="17"/>
        <v>0</v>
      </c>
      <c r="V93" s="445">
        <f t="shared" si="18"/>
        <v>0</v>
      </c>
      <c r="W93" s="446">
        <f t="shared" si="19"/>
        <v>0</v>
      </c>
      <c r="X93">
        <f>IF(ISNA(VLOOKUP((CONCATENATE("Standing Long Jump-",I93,"-",Input!J93)),points11,2,)),0,VLOOKUP((CONCATENATE("Standing Long Jump-",I93,"-",Input!J93)),points11,2,))</f>
        <v>0</v>
      </c>
      <c r="Y93">
        <f>IF(ISNA(VLOOKUP((CONCATENATE("Speed Bounce-",I93,"-",Input!K93)),points11,2,)),0,VLOOKUP((CONCATENATE("Speed Bounce-",I93,"-",Input!K93)),points11,2,))</f>
        <v>0</v>
      </c>
      <c r="Z93">
        <f>IF(ISNA(VLOOKUP((CONCATENATE("Target Throw-",I93,"-",Input!L93)),points11,2,)),0,VLOOKUP((CONCATENATE("Target Throw-",I93,"-",Input!L93)),points11,2,))</f>
        <v>0</v>
      </c>
      <c r="AA93">
        <f>IF(ISNA(VLOOKUP((CONCATENATE("Hi-Stepper-",I93,"-",Input!M93)),points11,2,)),0,VLOOKUP((CONCATENATE("Hi-Stepper-",I93,"-",Input!M93)),points11,2,))</f>
        <v>0</v>
      </c>
      <c r="AB93">
        <f>IF(ISNA(VLOOKUP((CONCATENATE("Chest Push-",I93,"-",Input!N93)),points11,2,)),0,VLOOKUP((CONCATENATE("Chest Push-",I93,"-",Input!N93)),points11,2,))</f>
        <v>0</v>
      </c>
      <c r="AC93">
        <f>IF(ISNA(VLOOKUP((CONCATENATE("Javelin Throw-",I93,"-",Input!O93)),points11,2,)),0,VLOOKUP((CONCATENATE("Javelin Throw-",I93,"-",Input!O93)),points11,2,))</f>
        <v>0</v>
      </c>
      <c r="AD93">
        <f t="shared" si="20"/>
        <v>0</v>
      </c>
      <c r="AE93" t="str">
        <f t="shared" si="21"/>
        <v xml:space="preserve"> </v>
      </c>
      <c r="AF93">
        <f t="shared" si="22"/>
        <v>0</v>
      </c>
    </row>
    <row r="94" spans="2:35" ht="15" thickBot="1" x14ac:dyDescent="0.4">
      <c r="B94" s="631"/>
      <c r="C94" s="520">
        <v>12</v>
      </c>
      <c r="D94" s="419">
        <v>7</v>
      </c>
      <c r="E94" s="471"/>
      <c r="F94" s="472"/>
      <c r="G94" s="473"/>
      <c r="H94" s="473"/>
      <c r="I94" s="473"/>
      <c r="J94" s="474"/>
      <c r="K94" s="475"/>
      <c r="L94" s="476"/>
      <c r="M94" s="475"/>
      <c r="N94" s="477"/>
      <c r="O94" s="501"/>
      <c r="P94" s="515">
        <f t="shared" si="12"/>
        <v>0</v>
      </c>
      <c r="Q94" s="455">
        <f t="shared" si="13"/>
        <v>0</v>
      </c>
      <c r="R94" s="455">
        <f t="shared" si="14"/>
        <v>0</v>
      </c>
      <c r="S94" s="455">
        <f t="shared" si="15"/>
        <v>0</v>
      </c>
      <c r="T94" s="455">
        <f t="shared" si="16"/>
        <v>0</v>
      </c>
      <c r="U94" s="455">
        <f t="shared" si="17"/>
        <v>0</v>
      </c>
      <c r="V94" s="455">
        <f t="shared" si="18"/>
        <v>0</v>
      </c>
      <c r="W94" s="478">
        <f t="shared" si="19"/>
        <v>0</v>
      </c>
      <c r="X94">
        <f>IF(ISNA(VLOOKUP((CONCATENATE("Standing Long Jump-",I94,"-",Input!J94)),points11,2,)),0,VLOOKUP((CONCATENATE("Standing Long Jump-",I94,"-",Input!J94)),points11,2,))</f>
        <v>0</v>
      </c>
      <c r="Y94">
        <f>IF(ISNA(VLOOKUP((CONCATENATE("Speed Bounce-",I94,"-",Input!K94)),points11,2,)),0,VLOOKUP((CONCATENATE("Speed Bounce-",I94,"-",Input!K94)),points11,2,))</f>
        <v>0</v>
      </c>
      <c r="Z94">
        <f>IF(ISNA(VLOOKUP((CONCATENATE("Target Throw-",I94,"-",Input!L94)),points11,2,)),0,VLOOKUP((CONCATENATE("Target Throw-",I94,"-",Input!L94)),points11,2,))</f>
        <v>0</v>
      </c>
      <c r="AA94">
        <f>IF(ISNA(VLOOKUP((CONCATENATE("Hi-Stepper-",I94,"-",Input!M94)),points11,2,)),0,VLOOKUP((CONCATENATE("Hi-Stepper-",I94,"-",Input!M94)),points11,2,))</f>
        <v>0</v>
      </c>
      <c r="AB94">
        <f>IF(ISNA(VLOOKUP((CONCATENATE("Chest Push-",I94,"-",Input!N94)),points11,2,)),0,VLOOKUP((CONCATENATE("Chest Push-",I94,"-",Input!N94)),points11,2,))</f>
        <v>0</v>
      </c>
      <c r="AC94">
        <f>IF(ISNA(VLOOKUP((CONCATENATE("Javelin Throw-",I94,"-",Input!O94)),points11,2,)),0,VLOOKUP((CONCATENATE("Javelin Throw-",I94,"-",Input!O94)),points11,2,))</f>
        <v>0</v>
      </c>
      <c r="AD94">
        <f t="shared" si="20"/>
        <v>0</v>
      </c>
      <c r="AE94" t="str">
        <f t="shared" si="21"/>
        <v xml:space="preserve"> </v>
      </c>
      <c r="AF94">
        <f t="shared" si="22"/>
        <v>0</v>
      </c>
    </row>
    <row r="95" spans="2:35" ht="15" thickBot="1" x14ac:dyDescent="0.4">
      <c r="B95" s="631" t="str">
        <f>'Competition Menu'!C18</f>
        <v>Team 8</v>
      </c>
      <c r="C95" s="520">
        <v>1</v>
      </c>
      <c r="D95" s="289">
        <v>8</v>
      </c>
      <c r="E95" s="421"/>
      <c r="F95" s="407"/>
      <c r="G95" s="422"/>
      <c r="H95" s="422"/>
      <c r="I95" s="422"/>
      <c r="J95" s="423"/>
      <c r="K95" s="424"/>
      <c r="L95" s="425"/>
      <c r="M95" s="424"/>
      <c r="N95" s="426"/>
      <c r="O95" s="502"/>
      <c r="P95" s="511">
        <f t="shared" si="12"/>
        <v>0</v>
      </c>
      <c r="Q95" s="449">
        <f t="shared" si="13"/>
        <v>0</v>
      </c>
      <c r="R95" s="449">
        <f t="shared" si="14"/>
        <v>0</v>
      </c>
      <c r="S95" s="449">
        <f t="shared" si="15"/>
        <v>0</v>
      </c>
      <c r="T95" s="449">
        <f t="shared" si="16"/>
        <v>0</v>
      </c>
      <c r="U95" s="449">
        <f t="shared" si="17"/>
        <v>0</v>
      </c>
      <c r="V95" s="449">
        <f t="shared" si="18"/>
        <v>0</v>
      </c>
      <c r="W95" s="450">
        <f t="shared" si="19"/>
        <v>0</v>
      </c>
      <c r="X95">
        <f>IF(ISNA(VLOOKUP((CONCATENATE("Standing Long Jump-",I95,"-",Input!J95)),points11,2,)),0,VLOOKUP((CONCATENATE("Standing Long Jump-",I95,"-",Input!J95)),points11,2,))</f>
        <v>0</v>
      </c>
      <c r="Y95">
        <f>IF(ISNA(VLOOKUP((CONCATENATE("Speed Bounce-",I95,"-",Input!K95)),points11,2,)),0,VLOOKUP((CONCATENATE("Speed Bounce-",I95,"-",Input!K95)),points11,2,))</f>
        <v>0</v>
      </c>
      <c r="Z95">
        <f>IF(ISNA(VLOOKUP((CONCATENATE("Target Throw-",I95,"-",Input!L95)),points11,2,)),0,VLOOKUP((CONCATENATE("Target Throw-",I95,"-",Input!L95)),points11,2,))</f>
        <v>0</v>
      </c>
      <c r="AA95">
        <f>IF(ISNA(VLOOKUP((CONCATENATE("Hi-Stepper-",I95,"-",Input!M95)),points11,2,)),0,VLOOKUP((CONCATENATE("Hi-Stepper-",I95,"-",Input!M95)),points11,2,))</f>
        <v>0</v>
      </c>
      <c r="AB95">
        <f>IF(ISNA(VLOOKUP((CONCATENATE("Chest Push-",I95,"-",Input!N95)),points11,2,)),0,VLOOKUP((CONCATENATE("Chest Push-",I95,"-",Input!N95)),points11,2,))</f>
        <v>0</v>
      </c>
      <c r="AC95">
        <f>IF(ISNA(VLOOKUP((CONCATENATE("Javelin Throw-",I95,"-",Input!O95)),points11,2,)),0,VLOOKUP((CONCATENATE("Javelin Throw-",I95,"-",Input!O95)),points11,2,))</f>
        <v>0</v>
      </c>
      <c r="AD95">
        <f t="shared" si="20"/>
        <v>0</v>
      </c>
      <c r="AE95" t="str">
        <f t="shared" si="21"/>
        <v xml:space="preserve"> </v>
      </c>
      <c r="AF95">
        <f t="shared" si="22"/>
        <v>0</v>
      </c>
    </row>
    <row r="96" spans="2:35" ht="15" thickBot="1" x14ac:dyDescent="0.4">
      <c r="B96" s="631"/>
      <c r="C96" s="520">
        <v>2</v>
      </c>
      <c r="D96" s="289">
        <v>8</v>
      </c>
      <c r="E96" s="387"/>
      <c r="F96" s="362"/>
      <c r="G96" s="388"/>
      <c r="H96" s="388"/>
      <c r="I96" s="388"/>
      <c r="J96" s="389"/>
      <c r="K96" s="390"/>
      <c r="L96" s="390"/>
      <c r="M96" s="390"/>
      <c r="N96" s="392"/>
      <c r="O96" s="500"/>
      <c r="P96" s="509">
        <f t="shared" si="12"/>
        <v>0</v>
      </c>
      <c r="Q96" s="445">
        <f t="shared" si="13"/>
        <v>0</v>
      </c>
      <c r="R96" s="445">
        <f t="shared" si="14"/>
        <v>0</v>
      </c>
      <c r="S96" s="445">
        <f t="shared" si="15"/>
        <v>0</v>
      </c>
      <c r="T96" s="445">
        <f t="shared" si="16"/>
        <v>0</v>
      </c>
      <c r="U96" s="445">
        <f t="shared" si="17"/>
        <v>0</v>
      </c>
      <c r="V96" s="445">
        <f t="shared" si="18"/>
        <v>0</v>
      </c>
      <c r="W96" s="446">
        <f t="shared" si="19"/>
        <v>0</v>
      </c>
      <c r="X96">
        <f>IF(ISNA(VLOOKUP((CONCATENATE("Standing Long Jump-",I96,"-",Input!J96)),points11,2,)),0,VLOOKUP((CONCATENATE("Standing Long Jump-",I96,"-",Input!J96)),points11,2,))</f>
        <v>0</v>
      </c>
      <c r="Y96">
        <f>IF(ISNA(VLOOKUP((CONCATENATE("Speed Bounce-",I96,"-",Input!K96)),points11,2,)),0,VLOOKUP((CONCATENATE("Speed Bounce-",I96,"-",Input!K96)),points11,2,))</f>
        <v>0</v>
      </c>
      <c r="Z96">
        <f>IF(ISNA(VLOOKUP((CONCATENATE("Target Throw-",I96,"-",Input!L96)),points11,2,)),0,VLOOKUP((CONCATENATE("Target Throw-",I96,"-",Input!L96)),points11,2,))</f>
        <v>0</v>
      </c>
      <c r="AA96">
        <f>IF(ISNA(VLOOKUP((CONCATENATE("Hi-Stepper-",I96,"-",Input!M96)),points11,2,)),0,VLOOKUP((CONCATENATE("Hi-Stepper-",I96,"-",Input!M96)),points11,2,))</f>
        <v>0</v>
      </c>
      <c r="AB96">
        <f>IF(ISNA(VLOOKUP((CONCATENATE("Chest Push-",I96,"-",Input!N96)),points11,2,)),0,VLOOKUP((CONCATENATE("Chest Push-",I96,"-",Input!N96)),points11,2,))</f>
        <v>0</v>
      </c>
      <c r="AC96">
        <f>IF(ISNA(VLOOKUP((CONCATENATE("Javelin Throw-",I96,"-",Input!O96)),points11,2,)),0,VLOOKUP((CONCATENATE("Javelin Throw-",I96,"-",Input!O96)),points11,2,))</f>
        <v>0</v>
      </c>
      <c r="AD96">
        <f t="shared" si="20"/>
        <v>0</v>
      </c>
      <c r="AE96" t="str">
        <f t="shared" si="21"/>
        <v xml:space="preserve"> </v>
      </c>
      <c r="AF96">
        <f t="shared" si="22"/>
        <v>0</v>
      </c>
    </row>
    <row r="97" spans="2:32" ht="15" thickBot="1" x14ac:dyDescent="0.4">
      <c r="B97" s="631"/>
      <c r="C97" s="520">
        <v>3</v>
      </c>
      <c r="D97" s="289">
        <v>8</v>
      </c>
      <c r="E97" s="387"/>
      <c r="F97" s="362"/>
      <c r="G97" s="388"/>
      <c r="H97" s="388"/>
      <c r="I97" s="388"/>
      <c r="J97" s="389"/>
      <c r="K97" s="390"/>
      <c r="L97" s="391"/>
      <c r="M97" s="390"/>
      <c r="N97" s="392"/>
      <c r="O97" s="500"/>
      <c r="P97" s="509">
        <f t="shared" si="12"/>
        <v>0</v>
      </c>
      <c r="Q97" s="445">
        <f t="shared" si="13"/>
        <v>0</v>
      </c>
      <c r="R97" s="445">
        <f t="shared" si="14"/>
        <v>0</v>
      </c>
      <c r="S97" s="445">
        <f t="shared" si="15"/>
        <v>0</v>
      </c>
      <c r="T97" s="445">
        <f t="shared" si="16"/>
        <v>0</v>
      </c>
      <c r="U97" s="445">
        <f t="shared" si="17"/>
        <v>0</v>
      </c>
      <c r="V97" s="445">
        <f t="shared" si="18"/>
        <v>0</v>
      </c>
      <c r="W97" s="446">
        <f t="shared" si="19"/>
        <v>0</v>
      </c>
      <c r="X97">
        <f>IF(ISNA(VLOOKUP((CONCATENATE("Standing Long Jump-",I97,"-",Input!J97)),points11,2,)),0,VLOOKUP((CONCATENATE("Standing Long Jump-",I97,"-",Input!J97)),points11,2,))</f>
        <v>0</v>
      </c>
      <c r="Y97">
        <f>IF(ISNA(VLOOKUP((CONCATENATE("Speed Bounce-",I97,"-",Input!K97)),points11,2,)),0,VLOOKUP((CONCATENATE("Speed Bounce-",I97,"-",Input!K97)),points11,2,))</f>
        <v>0</v>
      </c>
      <c r="Z97">
        <f>IF(ISNA(VLOOKUP((CONCATENATE("Target Throw-",I97,"-",Input!L97)),points11,2,)),0,VLOOKUP((CONCATENATE("Target Throw-",I97,"-",Input!L97)),points11,2,))</f>
        <v>0</v>
      </c>
      <c r="AA97">
        <f>IF(ISNA(VLOOKUP((CONCATENATE("Hi-Stepper-",I97,"-",Input!M97)),points11,2,)),0,VLOOKUP((CONCATENATE("Hi-Stepper-",I97,"-",Input!M97)),points11,2,))</f>
        <v>0</v>
      </c>
      <c r="AB97">
        <f>IF(ISNA(VLOOKUP((CONCATENATE("Chest Push-",I97,"-",Input!N97)),points11,2,)),0,VLOOKUP((CONCATENATE("Chest Push-",I97,"-",Input!N97)),points11,2,))</f>
        <v>0</v>
      </c>
      <c r="AC97">
        <f>IF(ISNA(VLOOKUP((CONCATENATE("Javelin Throw-",I97,"-",Input!O97)),points11,2,)),0,VLOOKUP((CONCATENATE("Javelin Throw-",I97,"-",Input!O97)),points11,2,))</f>
        <v>0</v>
      </c>
      <c r="AD97">
        <f t="shared" si="20"/>
        <v>0</v>
      </c>
      <c r="AE97" t="str">
        <f t="shared" si="21"/>
        <v xml:space="preserve"> </v>
      </c>
      <c r="AF97">
        <f t="shared" si="22"/>
        <v>0</v>
      </c>
    </row>
    <row r="98" spans="2:32" ht="15" thickBot="1" x14ac:dyDescent="0.4">
      <c r="B98" s="631"/>
      <c r="C98" s="520">
        <v>4</v>
      </c>
      <c r="D98" s="289">
        <v>8</v>
      </c>
      <c r="E98" s="387"/>
      <c r="F98" s="362"/>
      <c r="G98" s="388"/>
      <c r="H98" s="388"/>
      <c r="I98" s="388"/>
      <c r="J98" s="393"/>
      <c r="K98" s="388"/>
      <c r="L98" s="388"/>
      <c r="M98" s="388"/>
      <c r="N98" s="388"/>
      <c r="O98" s="503"/>
      <c r="P98" s="509">
        <f t="shared" si="12"/>
        <v>0</v>
      </c>
      <c r="Q98" s="445">
        <f t="shared" si="13"/>
        <v>0</v>
      </c>
      <c r="R98" s="445">
        <f t="shared" si="14"/>
        <v>0</v>
      </c>
      <c r="S98" s="445">
        <f t="shared" si="15"/>
        <v>0</v>
      </c>
      <c r="T98" s="445">
        <f t="shared" si="16"/>
        <v>0</v>
      </c>
      <c r="U98" s="445">
        <f t="shared" si="17"/>
        <v>0</v>
      </c>
      <c r="V98" s="445">
        <f t="shared" si="18"/>
        <v>0</v>
      </c>
      <c r="W98" s="446">
        <f t="shared" si="19"/>
        <v>0</v>
      </c>
      <c r="X98">
        <f>IF(ISNA(VLOOKUP((CONCATENATE("Standing Long Jump-",I98,"-",Input!J98)),points11,2,)),0,VLOOKUP((CONCATENATE("Standing Long Jump-",I98,"-",Input!J98)),points11,2,))</f>
        <v>0</v>
      </c>
      <c r="Y98">
        <f>IF(ISNA(VLOOKUP((CONCATENATE("Speed Bounce-",I98,"-",Input!K98)),points11,2,)),0,VLOOKUP((CONCATENATE("Speed Bounce-",I98,"-",Input!K98)),points11,2,))</f>
        <v>0</v>
      </c>
      <c r="Z98">
        <f>IF(ISNA(VLOOKUP((CONCATENATE("Target Throw-",I98,"-",Input!L98)),points11,2,)),0,VLOOKUP((CONCATENATE("Target Throw-",I98,"-",Input!L98)),points11,2,))</f>
        <v>0</v>
      </c>
      <c r="AA98">
        <f>IF(ISNA(VLOOKUP((CONCATENATE("Hi-Stepper-",I98,"-",Input!M98)),points11,2,)),0,VLOOKUP((CONCATENATE("Hi-Stepper-",I98,"-",Input!M98)),points11,2,))</f>
        <v>0</v>
      </c>
      <c r="AB98">
        <f>IF(ISNA(VLOOKUP((CONCATENATE("Chest Push-",I98,"-",Input!N98)),points11,2,)),0,VLOOKUP((CONCATENATE("Chest Push-",I98,"-",Input!N98)),points11,2,))</f>
        <v>0</v>
      </c>
      <c r="AC98">
        <f>IF(ISNA(VLOOKUP((CONCATENATE("Javelin Throw-",I98,"-",Input!O98)),points11,2,)),0,VLOOKUP((CONCATENATE("Javelin Throw-",I98,"-",Input!O98)),points11,2,))</f>
        <v>0</v>
      </c>
      <c r="AD98">
        <f t="shared" si="20"/>
        <v>0</v>
      </c>
      <c r="AE98" t="str">
        <f t="shared" si="21"/>
        <v xml:space="preserve"> </v>
      </c>
      <c r="AF98">
        <f t="shared" si="22"/>
        <v>0</v>
      </c>
    </row>
    <row r="99" spans="2:32" ht="15" thickBot="1" x14ac:dyDescent="0.4">
      <c r="B99" s="631"/>
      <c r="C99" s="520">
        <v>5</v>
      </c>
      <c r="D99" s="289">
        <v>8</v>
      </c>
      <c r="E99" s="387"/>
      <c r="F99" s="362"/>
      <c r="G99" s="388"/>
      <c r="H99" s="388"/>
      <c r="I99" s="388"/>
      <c r="J99" s="393"/>
      <c r="K99" s="388"/>
      <c r="L99" s="388"/>
      <c r="M99" s="388"/>
      <c r="N99" s="388"/>
      <c r="O99" s="503"/>
      <c r="P99" s="509">
        <f t="shared" si="12"/>
        <v>0</v>
      </c>
      <c r="Q99" s="445">
        <f t="shared" si="13"/>
        <v>0</v>
      </c>
      <c r="R99" s="445">
        <f t="shared" si="14"/>
        <v>0</v>
      </c>
      <c r="S99" s="445">
        <f t="shared" si="15"/>
        <v>0</v>
      </c>
      <c r="T99" s="445">
        <f t="shared" si="16"/>
        <v>0</v>
      </c>
      <c r="U99" s="445">
        <f t="shared" si="17"/>
        <v>0</v>
      </c>
      <c r="V99" s="445">
        <f t="shared" si="18"/>
        <v>0</v>
      </c>
      <c r="W99" s="446">
        <f t="shared" si="19"/>
        <v>0</v>
      </c>
      <c r="X99">
        <f>IF(ISNA(VLOOKUP((CONCATENATE("Standing Long Jump-",I99,"-",Input!J99)),points11,2,)),0,VLOOKUP((CONCATENATE("Standing Long Jump-",I99,"-",Input!J99)),points11,2,))</f>
        <v>0</v>
      </c>
      <c r="Y99">
        <f>IF(ISNA(VLOOKUP((CONCATENATE("Speed Bounce-",I99,"-",Input!K99)),points11,2,)),0,VLOOKUP((CONCATENATE("Speed Bounce-",I99,"-",Input!K99)),points11,2,))</f>
        <v>0</v>
      </c>
      <c r="Z99">
        <f>IF(ISNA(VLOOKUP((CONCATENATE("Target Throw-",I99,"-",Input!L99)),points11,2,)),0,VLOOKUP((CONCATENATE("Target Throw-",I99,"-",Input!L99)),points11,2,))</f>
        <v>0</v>
      </c>
      <c r="AA99">
        <f>IF(ISNA(VLOOKUP((CONCATENATE("Hi-Stepper-",I99,"-",Input!M99)),points11,2,)),0,VLOOKUP((CONCATENATE("Hi-Stepper-",I99,"-",Input!M99)),points11,2,))</f>
        <v>0</v>
      </c>
      <c r="AB99">
        <f>IF(ISNA(VLOOKUP((CONCATENATE("Chest Push-",I99,"-",Input!N99)),points11,2,)),0,VLOOKUP((CONCATENATE("Chest Push-",I99,"-",Input!N99)),points11,2,))</f>
        <v>0</v>
      </c>
      <c r="AC99">
        <f>IF(ISNA(VLOOKUP((CONCATENATE("Javelin Throw-",I99,"-",Input!O99)),points11,2,)),0,VLOOKUP((CONCATENATE("Javelin Throw-",I99,"-",Input!O99)),points11,2,))</f>
        <v>0</v>
      </c>
      <c r="AD99">
        <f t="shared" si="20"/>
        <v>0</v>
      </c>
      <c r="AE99" t="str">
        <f t="shared" si="21"/>
        <v xml:space="preserve"> </v>
      </c>
      <c r="AF99">
        <f t="shared" si="22"/>
        <v>0</v>
      </c>
    </row>
    <row r="100" spans="2:32" ht="15" thickBot="1" x14ac:dyDescent="0.4">
      <c r="B100" s="631"/>
      <c r="C100" s="520">
        <v>6</v>
      </c>
      <c r="D100" s="289">
        <v>8</v>
      </c>
      <c r="E100" s="387"/>
      <c r="F100" s="362"/>
      <c r="G100" s="388"/>
      <c r="H100" s="388"/>
      <c r="I100" s="388"/>
      <c r="J100" s="393"/>
      <c r="K100" s="388"/>
      <c r="L100" s="388"/>
      <c r="M100" s="388"/>
      <c r="N100" s="388"/>
      <c r="O100" s="503"/>
      <c r="P100" s="509">
        <f t="shared" si="12"/>
        <v>0</v>
      </c>
      <c r="Q100" s="445">
        <f t="shared" si="13"/>
        <v>0</v>
      </c>
      <c r="R100" s="445">
        <f t="shared" si="14"/>
        <v>0</v>
      </c>
      <c r="S100" s="445">
        <f t="shared" si="15"/>
        <v>0</v>
      </c>
      <c r="T100" s="445">
        <f t="shared" si="16"/>
        <v>0</v>
      </c>
      <c r="U100" s="445">
        <f t="shared" si="17"/>
        <v>0</v>
      </c>
      <c r="V100" s="445">
        <f t="shared" si="18"/>
        <v>0</v>
      </c>
      <c r="W100" s="446">
        <f t="shared" si="19"/>
        <v>0</v>
      </c>
      <c r="X100">
        <f>IF(ISNA(VLOOKUP((CONCATENATE("Standing Long Jump-",I100,"-",Input!J100)),points11,2,)),0,VLOOKUP((CONCATENATE("Standing Long Jump-",I100,"-",Input!J100)),points11,2,))</f>
        <v>0</v>
      </c>
      <c r="Y100">
        <f>IF(ISNA(VLOOKUP((CONCATENATE("Speed Bounce-",I100,"-",Input!K100)),points11,2,)),0,VLOOKUP((CONCATENATE("Speed Bounce-",I100,"-",Input!K100)),points11,2,))</f>
        <v>0</v>
      </c>
      <c r="Z100">
        <f>IF(ISNA(VLOOKUP((CONCATENATE("Target Throw-",I100,"-",Input!L100)),points11,2,)),0,VLOOKUP((CONCATENATE("Target Throw-",I100,"-",Input!L100)),points11,2,))</f>
        <v>0</v>
      </c>
      <c r="AA100">
        <f>IF(ISNA(VLOOKUP((CONCATENATE("Hi-Stepper-",I100,"-",Input!M100)),points11,2,)),0,VLOOKUP((CONCATENATE("Hi-Stepper-",I100,"-",Input!M100)),points11,2,))</f>
        <v>0</v>
      </c>
      <c r="AB100">
        <f>IF(ISNA(VLOOKUP((CONCATENATE("Chest Push-",I100,"-",Input!N100)),points11,2,)),0,VLOOKUP((CONCATENATE("Chest Push-",I100,"-",Input!N100)),points11,2,))</f>
        <v>0</v>
      </c>
      <c r="AC100">
        <f>IF(ISNA(VLOOKUP((CONCATENATE("Javelin Throw-",I100,"-",Input!O100)),points11,2,)),0,VLOOKUP((CONCATENATE("Javelin Throw-",I100,"-",Input!O100)),points11,2,))</f>
        <v>0</v>
      </c>
      <c r="AD100">
        <f t="shared" si="20"/>
        <v>0</v>
      </c>
      <c r="AE100" t="str">
        <f t="shared" si="21"/>
        <v xml:space="preserve"> </v>
      </c>
      <c r="AF100">
        <f t="shared" si="22"/>
        <v>0</v>
      </c>
    </row>
    <row r="101" spans="2:32" ht="15" thickBot="1" x14ac:dyDescent="0.4">
      <c r="B101" s="631"/>
      <c r="C101" s="520">
        <v>7</v>
      </c>
      <c r="D101" s="289">
        <v>8</v>
      </c>
      <c r="E101" s="387"/>
      <c r="F101" s="362"/>
      <c r="G101" s="388"/>
      <c r="H101" s="388"/>
      <c r="I101" s="388"/>
      <c r="J101" s="393"/>
      <c r="K101" s="388"/>
      <c r="L101" s="388"/>
      <c r="M101" s="388"/>
      <c r="N101" s="388"/>
      <c r="O101" s="503"/>
      <c r="P101" s="509">
        <f t="shared" si="12"/>
        <v>0</v>
      </c>
      <c r="Q101" s="445">
        <f t="shared" si="13"/>
        <v>0</v>
      </c>
      <c r="R101" s="445">
        <f t="shared" si="14"/>
        <v>0</v>
      </c>
      <c r="S101" s="445">
        <f t="shared" si="15"/>
        <v>0</v>
      </c>
      <c r="T101" s="445">
        <f t="shared" si="16"/>
        <v>0</v>
      </c>
      <c r="U101" s="445">
        <f t="shared" si="17"/>
        <v>0</v>
      </c>
      <c r="V101" s="445">
        <f t="shared" si="18"/>
        <v>0</v>
      </c>
      <c r="W101" s="446">
        <f t="shared" si="19"/>
        <v>0</v>
      </c>
      <c r="X101">
        <f>IF(ISNA(VLOOKUP((CONCATENATE("Standing Long Jump-",I101,"-",Input!J101)),points11,2,)),0,VLOOKUP((CONCATENATE("Standing Long Jump-",I101,"-",Input!J101)),points11,2,))</f>
        <v>0</v>
      </c>
      <c r="Y101">
        <f>IF(ISNA(VLOOKUP((CONCATENATE("Speed Bounce-",I101,"-",Input!K101)),points11,2,)),0,VLOOKUP((CONCATENATE("Speed Bounce-",I101,"-",Input!K101)),points11,2,))</f>
        <v>0</v>
      </c>
      <c r="Z101">
        <f>IF(ISNA(VLOOKUP((CONCATENATE("Target Throw-",I101,"-",Input!L101)),points11,2,)),0,VLOOKUP((CONCATENATE("Target Throw-",I101,"-",Input!L101)),points11,2,))</f>
        <v>0</v>
      </c>
      <c r="AA101">
        <f>IF(ISNA(VLOOKUP((CONCATENATE("Hi-Stepper-",I101,"-",Input!M101)),points11,2,)),0,VLOOKUP((CONCATENATE("Hi-Stepper-",I101,"-",Input!M101)),points11,2,))</f>
        <v>0</v>
      </c>
      <c r="AB101">
        <f>IF(ISNA(VLOOKUP((CONCATENATE("Chest Push-",I101,"-",Input!N101)),points11,2,)),0,VLOOKUP((CONCATENATE("Chest Push-",I101,"-",Input!N101)),points11,2,))</f>
        <v>0</v>
      </c>
      <c r="AC101">
        <f>IF(ISNA(VLOOKUP((CONCATENATE("Javelin Throw-",I101,"-",Input!O101)),points11,2,)),0,VLOOKUP((CONCATENATE("Javelin Throw-",I101,"-",Input!O101)),points11,2,))</f>
        <v>0</v>
      </c>
      <c r="AD101">
        <f t="shared" si="20"/>
        <v>0</v>
      </c>
      <c r="AE101" t="str">
        <f t="shared" si="21"/>
        <v xml:space="preserve"> </v>
      </c>
      <c r="AF101">
        <f t="shared" si="22"/>
        <v>0</v>
      </c>
    </row>
    <row r="102" spans="2:32" ht="15" thickBot="1" x14ac:dyDescent="0.4">
      <c r="B102" s="631"/>
      <c r="C102" s="520">
        <v>8</v>
      </c>
      <c r="D102" s="289">
        <v>8</v>
      </c>
      <c r="E102" s="387"/>
      <c r="F102" s="362"/>
      <c r="G102" s="388"/>
      <c r="H102" s="388"/>
      <c r="I102" s="388"/>
      <c r="J102" s="393"/>
      <c r="K102" s="388"/>
      <c r="L102" s="388"/>
      <c r="M102" s="388"/>
      <c r="N102" s="388"/>
      <c r="O102" s="503"/>
      <c r="P102" s="509">
        <f t="shared" si="12"/>
        <v>0</v>
      </c>
      <c r="Q102" s="445">
        <f t="shared" si="13"/>
        <v>0</v>
      </c>
      <c r="R102" s="445">
        <f t="shared" si="14"/>
        <v>0</v>
      </c>
      <c r="S102" s="445">
        <f t="shared" si="15"/>
        <v>0</v>
      </c>
      <c r="T102" s="445">
        <f t="shared" si="16"/>
        <v>0</v>
      </c>
      <c r="U102" s="445">
        <f t="shared" si="17"/>
        <v>0</v>
      </c>
      <c r="V102" s="445">
        <f t="shared" si="18"/>
        <v>0</v>
      </c>
      <c r="W102" s="446">
        <f t="shared" si="19"/>
        <v>0</v>
      </c>
      <c r="X102">
        <f>IF(ISNA(VLOOKUP((CONCATENATE("Standing Long Jump-",I102,"-",Input!J102)),points11,2,)),0,VLOOKUP((CONCATENATE("Standing Long Jump-",I102,"-",Input!J102)),points11,2,))</f>
        <v>0</v>
      </c>
      <c r="Y102">
        <f>IF(ISNA(VLOOKUP((CONCATENATE("Speed Bounce-",I102,"-",Input!K102)),points11,2,)),0,VLOOKUP((CONCATENATE("Speed Bounce-",I102,"-",Input!K102)),points11,2,))</f>
        <v>0</v>
      </c>
      <c r="Z102">
        <f>IF(ISNA(VLOOKUP((CONCATENATE("Target Throw-",I102,"-",Input!L102)),points11,2,)),0,VLOOKUP((CONCATENATE("Target Throw-",I102,"-",Input!L102)),points11,2,))</f>
        <v>0</v>
      </c>
      <c r="AA102">
        <f>IF(ISNA(VLOOKUP((CONCATENATE("Hi-Stepper-",I102,"-",Input!M102)),points11,2,)),0,VLOOKUP((CONCATENATE("Hi-Stepper-",I102,"-",Input!M102)),points11,2,))</f>
        <v>0</v>
      </c>
      <c r="AB102">
        <f>IF(ISNA(VLOOKUP((CONCATENATE("Chest Push-",I102,"-",Input!N102)),points11,2,)),0,VLOOKUP((CONCATENATE("Chest Push-",I102,"-",Input!N102)),points11,2,))</f>
        <v>0</v>
      </c>
      <c r="AC102">
        <f>IF(ISNA(VLOOKUP((CONCATENATE("Javelin Throw-",I102,"-",Input!O102)),points11,2,)),0,VLOOKUP((CONCATENATE("Javelin Throw-",I102,"-",Input!O102)),points11,2,))</f>
        <v>0</v>
      </c>
      <c r="AD102">
        <f t="shared" si="20"/>
        <v>0</v>
      </c>
      <c r="AE102" t="str">
        <f t="shared" si="21"/>
        <v xml:space="preserve"> </v>
      </c>
      <c r="AF102">
        <f t="shared" si="22"/>
        <v>0</v>
      </c>
    </row>
    <row r="103" spans="2:32" ht="15" thickBot="1" x14ac:dyDescent="0.4">
      <c r="B103" s="631"/>
      <c r="C103" s="520">
        <v>9</v>
      </c>
      <c r="D103" s="289">
        <v>8</v>
      </c>
      <c r="E103" s="387"/>
      <c r="F103" s="362"/>
      <c r="G103" s="388"/>
      <c r="H103" s="388"/>
      <c r="I103" s="388"/>
      <c r="J103" s="393"/>
      <c r="K103" s="388"/>
      <c r="L103" s="388"/>
      <c r="M103" s="388"/>
      <c r="N103" s="388"/>
      <c r="O103" s="503"/>
      <c r="P103" s="509">
        <f t="shared" si="12"/>
        <v>0</v>
      </c>
      <c r="Q103" s="445">
        <f t="shared" si="13"/>
        <v>0</v>
      </c>
      <c r="R103" s="445">
        <f t="shared" si="14"/>
        <v>0</v>
      </c>
      <c r="S103" s="445">
        <f t="shared" si="15"/>
        <v>0</v>
      </c>
      <c r="T103" s="445">
        <f t="shared" si="16"/>
        <v>0</v>
      </c>
      <c r="U103" s="445">
        <f t="shared" si="17"/>
        <v>0</v>
      </c>
      <c r="V103" s="445">
        <f t="shared" si="18"/>
        <v>0</v>
      </c>
      <c r="W103" s="446">
        <f t="shared" si="19"/>
        <v>0</v>
      </c>
      <c r="X103">
        <f>IF(ISNA(VLOOKUP((CONCATENATE("Standing Long Jump-",I103,"-",Input!J103)),points11,2,)),0,VLOOKUP((CONCATENATE("Standing Long Jump-",I103,"-",Input!J103)),points11,2,))</f>
        <v>0</v>
      </c>
      <c r="Y103">
        <f>IF(ISNA(VLOOKUP((CONCATENATE("Speed Bounce-",I103,"-",Input!K103)),points11,2,)),0,VLOOKUP((CONCATENATE("Speed Bounce-",I103,"-",Input!K103)),points11,2,))</f>
        <v>0</v>
      </c>
      <c r="Z103">
        <f>IF(ISNA(VLOOKUP((CONCATENATE("Target Throw-",I103,"-",Input!L103)),points11,2,)),0,VLOOKUP((CONCATENATE("Target Throw-",I103,"-",Input!L103)),points11,2,))</f>
        <v>0</v>
      </c>
      <c r="AA103">
        <f>IF(ISNA(VLOOKUP((CONCATENATE("Hi-Stepper-",I103,"-",Input!M103)),points11,2,)),0,VLOOKUP((CONCATENATE("Hi-Stepper-",I103,"-",Input!M103)),points11,2,))</f>
        <v>0</v>
      </c>
      <c r="AB103">
        <f>IF(ISNA(VLOOKUP((CONCATENATE("Chest Push-",I103,"-",Input!N103)),points11,2,)),0,VLOOKUP((CONCATENATE("Chest Push-",I103,"-",Input!N103)),points11,2,))</f>
        <v>0</v>
      </c>
      <c r="AC103">
        <f>IF(ISNA(VLOOKUP((CONCATENATE("Javelin Throw-",I103,"-",Input!O103)),points11,2,)),0,VLOOKUP((CONCATENATE("Javelin Throw-",I103,"-",Input!O103)),points11,2,))</f>
        <v>0</v>
      </c>
      <c r="AD103">
        <f t="shared" si="20"/>
        <v>0</v>
      </c>
      <c r="AE103" t="str">
        <f t="shared" si="21"/>
        <v xml:space="preserve"> </v>
      </c>
      <c r="AF103">
        <f t="shared" si="22"/>
        <v>0</v>
      </c>
    </row>
    <row r="104" spans="2:32" ht="15" thickBot="1" x14ac:dyDescent="0.4">
      <c r="B104" s="631"/>
      <c r="C104" s="520">
        <v>10</v>
      </c>
      <c r="D104" s="289">
        <v>8</v>
      </c>
      <c r="E104" s="387"/>
      <c r="F104" s="362"/>
      <c r="G104" s="388"/>
      <c r="H104" s="388"/>
      <c r="I104" s="388"/>
      <c r="J104" s="393"/>
      <c r="K104" s="388"/>
      <c r="L104" s="388"/>
      <c r="M104" s="388"/>
      <c r="N104" s="388"/>
      <c r="O104" s="503"/>
      <c r="P104" s="509">
        <f t="shared" si="12"/>
        <v>0</v>
      </c>
      <c r="Q104" s="445">
        <f t="shared" si="13"/>
        <v>0</v>
      </c>
      <c r="R104" s="445">
        <f t="shared" si="14"/>
        <v>0</v>
      </c>
      <c r="S104" s="445">
        <f t="shared" si="15"/>
        <v>0</v>
      </c>
      <c r="T104" s="445">
        <f t="shared" si="16"/>
        <v>0</v>
      </c>
      <c r="U104" s="445">
        <f t="shared" si="17"/>
        <v>0</v>
      </c>
      <c r="V104" s="445">
        <f t="shared" si="18"/>
        <v>0</v>
      </c>
      <c r="W104" s="446">
        <f t="shared" si="19"/>
        <v>0</v>
      </c>
      <c r="X104">
        <f>IF(ISNA(VLOOKUP((CONCATENATE("Standing Long Jump-",I104,"-",Input!J104)),points11,2,)),0,VLOOKUP((CONCATENATE("Standing Long Jump-",I104,"-",Input!J104)),points11,2,))</f>
        <v>0</v>
      </c>
      <c r="Y104">
        <f>IF(ISNA(VLOOKUP((CONCATENATE("Speed Bounce-",I104,"-",Input!K104)),points11,2,)),0,VLOOKUP((CONCATENATE("Speed Bounce-",I104,"-",Input!K104)),points11,2,))</f>
        <v>0</v>
      </c>
      <c r="Z104">
        <f>IF(ISNA(VLOOKUP((CONCATENATE("Target Throw-",I104,"-",Input!L104)),points11,2,)),0,VLOOKUP((CONCATENATE("Target Throw-",I104,"-",Input!L104)),points11,2,))</f>
        <v>0</v>
      </c>
      <c r="AA104">
        <f>IF(ISNA(VLOOKUP((CONCATENATE("Hi-Stepper-",I104,"-",Input!M104)),points11,2,)),0,VLOOKUP((CONCATENATE("Hi-Stepper-",I104,"-",Input!M104)),points11,2,))</f>
        <v>0</v>
      </c>
      <c r="AB104">
        <f>IF(ISNA(VLOOKUP((CONCATENATE("Chest Push-",I104,"-",Input!N104)),points11,2,)),0,VLOOKUP((CONCATENATE("Chest Push-",I104,"-",Input!N104)),points11,2,))</f>
        <v>0</v>
      </c>
      <c r="AC104">
        <f>IF(ISNA(VLOOKUP((CONCATENATE("Javelin Throw-",I104,"-",Input!O104)),points11,2,)),0,VLOOKUP((CONCATENATE("Javelin Throw-",I104,"-",Input!O104)),points11,2,))</f>
        <v>0</v>
      </c>
      <c r="AD104">
        <f t="shared" si="20"/>
        <v>0</v>
      </c>
      <c r="AE104" t="str">
        <f t="shared" si="21"/>
        <v xml:space="preserve"> </v>
      </c>
      <c r="AF104">
        <f t="shared" si="22"/>
        <v>0</v>
      </c>
    </row>
    <row r="105" spans="2:32" ht="15" thickBot="1" x14ac:dyDescent="0.4">
      <c r="B105" s="631"/>
      <c r="C105" s="520">
        <v>11</v>
      </c>
      <c r="D105" s="289">
        <v>8</v>
      </c>
      <c r="E105" s="387"/>
      <c r="F105" s="362"/>
      <c r="G105" s="388"/>
      <c r="H105" s="388"/>
      <c r="I105" s="388"/>
      <c r="J105" s="393"/>
      <c r="K105" s="388"/>
      <c r="L105" s="388"/>
      <c r="M105" s="388"/>
      <c r="N105" s="388"/>
      <c r="O105" s="503"/>
      <c r="P105" s="509">
        <f t="shared" si="12"/>
        <v>0</v>
      </c>
      <c r="Q105" s="445">
        <f t="shared" si="13"/>
        <v>0</v>
      </c>
      <c r="R105" s="445">
        <f t="shared" si="14"/>
        <v>0</v>
      </c>
      <c r="S105" s="445">
        <f t="shared" si="15"/>
        <v>0</v>
      </c>
      <c r="T105" s="445">
        <f t="shared" si="16"/>
        <v>0</v>
      </c>
      <c r="U105" s="445">
        <f t="shared" si="17"/>
        <v>0</v>
      </c>
      <c r="V105" s="445">
        <f t="shared" si="18"/>
        <v>0</v>
      </c>
      <c r="W105" s="446">
        <f t="shared" si="19"/>
        <v>0</v>
      </c>
      <c r="X105">
        <f>IF(ISNA(VLOOKUP((CONCATENATE("Standing Long Jump-",I105,"-",Input!J105)),points11,2,)),0,VLOOKUP((CONCATENATE("Standing Long Jump-",I105,"-",Input!J105)),points11,2,))</f>
        <v>0</v>
      </c>
      <c r="Y105">
        <f>IF(ISNA(VLOOKUP((CONCATENATE("Speed Bounce-",I105,"-",Input!K105)),points11,2,)),0,VLOOKUP((CONCATENATE("Speed Bounce-",I105,"-",Input!K105)),points11,2,))</f>
        <v>0</v>
      </c>
      <c r="Z105">
        <f>IF(ISNA(VLOOKUP((CONCATENATE("Target Throw-",I105,"-",Input!L105)),points11,2,)),0,VLOOKUP((CONCATENATE("Target Throw-",I105,"-",Input!L105)),points11,2,))</f>
        <v>0</v>
      </c>
      <c r="AA105">
        <f>IF(ISNA(VLOOKUP((CONCATENATE("Hi-Stepper-",I105,"-",Input!M105)),points11,2,)),0,VLOOKUP((CONCATENATE("Hi-Stepper-",I105,"-",Input!M105)),points11,2,))</f>
        <v>0</v>
      </c>
      <c r="AB105">
        <f>IF(ISNA(VLOOKUP((CONCATENATE("Chest Push-",I105,"-",Input!N105)),points11,2,)),0,VLOOKUP((CONCATENATE("Chest Push-",I105,"-",Input!N105)),points11,2,))</f>
        <v>0</v>
      </c>
      <c r="AC105">
        <f>IF(ISNA(VLOOKUP((CONCATENATE("Javelin Throw-",I105,"-",Input!O105)),points11,2,)),0,VLOOKUP((CONCATENATE("Javelin Throw-",I105,"-",Input!O105)),points11,2,))</f>
        <v>0</v>
      </c>
      <c r="AD105">
        <f t="shared" si="20"/>
        <v>0</v>
      </c>
      <c r="AE105" t="str">
        <f t="shared" si="21"/>
        <v xml:space="preserve"> </v>
      </c>
      <c r="AF105">
        <f t="shared" si="22"/>
        <v>0</v>
      </c>
    </row>
    <row r="106" spans="2:32" ht="15" thickBot="1" x14ac:dyDescent="0.4">
      <c r="B106" s="631"/>
      <c r="C106" s="520">
        <v>12</v>
      </c>
      <c r="D106" s="289">
        <v>8</v>
      </c>
      <c r="E106" s="428"/>
      <c r="F106" s="400"/>
      <c r="G106" s="429"/>
      <c r="H106" s="429"/>
      <c r="I106" s="429"/>
      <c r="J106" s="430"/>
      <c r="K106" s="429"/>
      <c r="L106" s="429"/>
      <c r="M106" s="429"/>
      <c r="N106" s="429"/>
      <c r="O106" s="504"/>
      <c r="P106" s="512">
        <f t="shared" si="12"/>
        <v>0</v>
      </c>
      <c r="Q106" s="451">
        <f t="shared" si="13"/>
        <v>0</v>
      </c>
      <c r="R106" s="451">
        <f t="shared" si="14"/>
        <v>0</v>
      </c>
      <c r="S106" s="451">
        <f t="shared" si="15"/>
        <v>0</v>
      </c>
      <c r="T106" s="451">
        <f t="shared" si="16"/>
        <v>0</v>
      </c>
      <c r="U106" s="451">
        <f t="shared" si="17"/>
        <v>0</v>
      </c>
      <c r="V106" s="451">
        <f t="shared" si="18"/>
        <v>0</v>
      </c>
      <c r="W106" s="452">
        <f t="shared" si="19"/>
        <v>0</v>
      </c>
      <c r="X106">
        <f>IF(ISNA(VLOOKUP((CONCATENATE("Standing Long Jump-",I106,"-",Input!J106)),points11,2,)),0,VLOOKUP((CONCATENATE("Standing Long Jump-",I106,"-",Input!J106)),points11,2,))</f>
        <v>0</v>
      </c>
      <c r="Y106">
        <f>IF(ISNA(VLOOKUP((CONCATENATE("Speed Bounce-",I106,"-",Input!K106)),points11,2,)),0,VLOOKUP((CONCATENATE("Speed Bounce-",I106,"-",Input!K106)),points11,2,))</f>
        <v>0</v>
      </c>
      <c r="Z106">
        <f>IF(ISNA(VLOOKUP((CONCATENATE("Target Throw-",I106,"-",Input!L106)),points11,2,)),0,VLOOKUP((CONCATENATE("Target Throw-",I106,"-",Input!L106)),points11,2,))</f>
        <v>0</v>
      </c>
      <c r="AA106">
        <f>IF(ISNA(VLOOKUP((CONCATENATE("Hi-Stepper-",I106,"-",Input!M106)),points11,2,)),0,VLOOKUP((CONCATENATE("Hi-Stepper-",I106,"-",Input!M106)),points11,2,))</f>
        <v>0</v>
      </c>
      <c r="AB106">
        <f>IF(ISNA(VLOOKUP((CONCATENATE("Chest Push-",I106,"-",Input!N106)),points11,2,)),0,VLOOKUP((CONCATENATE("Chest Push-",I106,"-",Input!N106)),points11,2,))</f>
        <v>0</v>
      </c>
      <c r="AC106">
        <f>IF(ISNA(VLOOKUP((CONCATENATE("Javelin Throw-",I106,"-",Input!O106)),points11,2,)),0,VLOOKUP((CONCATENATE("Javelin Throw-",I106,"-",Input!O106)),points11,2,))</f>
        <v>0</v>
      </c>
      <c r="AD106">
        <f t="shared" si="20"/>
        <v>0</v>
      </c>
      <c r="AE106" t="str">
        <f t="shared" si="21"/>
        <v xml:space="preserve"> </v>
      </c>
      <c r="AF106">
        <f t="shared" si="22"/>
        <v>0</v>
      </c>
    </row>
    <row r="107" spans="2:32" ht="15" thickBot="1" x14ac:dyDescent="0.4">
      <c r="B107" s="631" t="str">
        <f>'Competition Menu'!C19</f>
        <v>Team 9</v>
      </c>
      <c r="C107" s="520">
        <v>1</v>
      </c>
      <c r="D107" s="289">
        <v>9</v>
      </c>
      <c r="E107" s="479"/>
      <c r="F107" s="357"/>
      <c r="G107" s="480"/>
      <c r="H107" s="480"/>
      <c r="I107" s="480"/>
      <c r="J107" s="481"/>
      <c r="K107" s="480"/>
      <c r="L107" s="480"/>
      <c r="M107" s="480"/>
      <c r="N107" s="480"/>
      <c r="O107" s="505"/>
      <c r="P107" s="513">
        <f t="shared" si="12"/>
        <v>0</v>
      </c>
      <c r="Q107" s="453">
        <f t="shared" si="13"/>
        <v>0</v>
      </c>
      <c r="R107" s="453">
        <f t="shared" si="14"/>
        <v>0</v>
      </c>
      <c r="S107" s="453">
        <f t="shared" si="15"/>
        <v>0</v>
      </c>
      <c r="T107" s="453">
        <f t="shared" si="16"/>
        <v>0</v>
      </c>
      <c r="U107" s="453">
        <f t="shared" si="17"/>
        <v>0</v>
      </c>
      <c r="V107" s="453">
        <f t="shared" si="18"/>
        <v>0</v>
      </c>
      <c r="W107" s="454">
        <f t="shared" si="19"/>
        <v>0</v>
      </c>
      <c r="X107">
        <f>IF(ISNA(VLOOKUP((CONCATENATE("Standing Long Jump-",I107,"-",Input!J107)),points11,2,)),0,VLOOKUP((CONCATENATE("Standing Long Jump-",I107,"-",Input!J107)),points11,2,))</f>
        <v>0</v>
      </c>
      <c r="Y107">
        <f>IF(ISNA(VLOOKUP((CONCATENATE("Speed Bounce-",I107,"-",Input!K107)),points11,2,)),0,VLOOKUP((CONCATENATE("Speed Bounce-",I107,"-",Input!K107)),points11,2,))</f>
        <v>0</v>
      </c>
      <c r="Z107">
        <f>IF(ISNA(VLOOKUP((CONCATENATE("Target Throw-",I107,"-",Input!L107)),points11,2,)),0,VLOOKUP((CONCATENATE("Target Throw-",I107,"-",Input!L107)),points11,2,))</f>
        <v>0</v>
      </c>
      <c r="AA107">
        <f>IF(ISNA(VLOOKUP((CONCATENATE("Hi-Stepper-",I107,"-",Input!M107)),points11,2,)),0,VLOOKUP((CONCATENATE("Hi-Stepper-",I107,"-",Input!M107)),points11,2,))</f>
        <v>0</v>
      </c>
      <c r="AB107">
        <f>IF(ISNA(VLOOKUP((CONCATENATE("Chest Push-",I107,"-",Input!N107)),points11,2,)),0,VLOOKUP((CONCATENATE("Chest Push-",I107,"-",Input!N107)),points11,2,))</f>
        <v>0</v>
      </c>
      <c r="AC107">
        <f>IF(ISNA(VLOOKUP((CONCATENATE("Javelin Throw-",I107,"-",Input!O107)),points11,2,)),0,VLOOKUP((CONCATENATE("Javelin Throw-",I107,"-",Input!O107)),points11,2,))</f>
        <v>0</v>
      </c>
      <c r="AD107">
        <f t="shared" si="20"/>
        <v>0</v>
      </c>
      <c r="AE107" t="str">
        <f t="shared" si="21"/>
        <v xml:space="preserve"> </v>
      </c>
      <c r="AF107">
        <f t="shared" si="22"/>
        <v>0</v>
      </c>
    </row>
    <row r="108" spans="2:32" ht="15" thickBot="1" x14ac:dyDescent="0.4">
      <c r="B108" s="631"/>
      <c r="C108" s="520">
        <v>2</v>
      </c>
      <c r="D108" s="289">
        <v>9</v>
      </c>
      <c r="E108" s="387"/>
      <c r="F108" s="362"/>
      <c r="G108" s="388"/>
      <c r="H108" s="388"/>
      <c r="I108" s="388"/>
      <c r="J108" s="393"/>
      <c r="K108" s="388"/>
      <c r="L108" s="388"/>
      <c r="M108" s="388"/>
      <c r="N108" s="388"/>
      <c r="O108" s="503"/>
      <c r="P108" s="509">
        <f t="shared" si="12"/>
        <v>0</v>
      </c>
      <c r="Q108" s="445">
        <f t="shared" si="13"/>
        <v>0</v>
      </c>
      <c r="R108" s="445">
        <f t="shared" si="14"/>
        <v>0</v>
      </c>
      <c r="S108" s="445">
        <f t="shared" si="15"/>
        <v>0</v>
      </c>
      <c r="T108" s="445">
        <f t="shared" si="16"/>
        <v>0</v>
      </c>
      <c r="U108" s="445">
        <f t="shared" si="17"/>
        <v>0</v>
      </c>
      <c r="V108" s="445">
        <f t="shared" si="18"/>
        <v>0</v>
      </c>
      <c r="W108" s="446">
        <f t="shared" si="19"/>
        <v>0</v>
      </c>
      <c r="X108">
        <f>IF(ISNA(VLOOKUP((CONCATENATE("Standing Long Jump-",I108,"-",Input!J108)),points11,2,)),0,VLOOKUP((CONCATENATE("Standing Long Jump-",I108,"-",Input!J108)),points11,2,))</f>
        <v>0</v>
      </c>
      <c r="Y108">
        <f>IF(ISNA(VLOOKUP((CONCATENATE("Speed Bounce-",I108,"-",Input!K108)),points11,2,)),0,VLOOKUP((CONCATENATE("Speed Bounce-",I108,"-",Input!K108)),points11,2,))</f>
        <v>0</v>
      </c>
      <c r="Z108">
        <f>IF(ISNA(VLOOKUP((CONCATENATE("Target Throw-",I108,"-",Input!L108)),points11,2,)),0,VLOOKUP((CONCATENATE("Target Throw-",I108,"-",Input!L108)),points11,2,))</f>
        <v>0</v>
      </c>
      <c r="AA108">
        <f>IF(ISNA(VLOOKUP((CONCATENATE("Hi-Stepper-",I108,"-",Input!M108)),points11,2,)),0,VLOOKUP((CONCATENATE("Hi-Stepper-",I108,"-",Input!M108)),points11,2,))</f>
        <v>0</v>
      </c>
      <c r="AB108">
        <f>IF(ISNA(VLOOKUP((CONCATENATE("Chest Push-",I108,"-",Input!N108)),points11,2,)),0,VLOOKUP((CONCATENATE("Chest Push-",I108,"-",Input!N108)),points11,2,))</f>
        <v>0</v>
      </c>
      <c r="AC108">
        <f>IF(ISNA(VLOOKUP((CONCATENATE("Javelin Throw-",I108,"-",Input!O108)),points11,2,)),0,VLOOKUP((CONCATENATE("Javelin Throw-",I108,"-",Input!O108)),points11,2,))</f>
        <v>0</v>
      </c>
      <c r="AD108">
        <f t="shared" si="20"/>
        <v>0</v>
      </c>
      <c r="AE108" t="str">
        <f t="shared" si="21"/>
        <v xml:space="preserve"> </v>
      </c>
      <c r="AF108">
        <f t="shared" si="22"/>
        <v>0</v>
      </c>
    </row>
    <row r="109" spans="2:32" ht="15" thickBot="1" x14ac:dyDescent="0.4">
      <c r="B109" s="631"/>
      <c r="C109" s="520">
        <v>3</v>
      </c>
      <c r="D109" s="289">
        <v>9</v>
      </c>
      <c r="E109" s="387"/>
      <c r="F109" s="362"/>
      <c r="G109" s="388"/>
      <c r="H109" s="388"/>
      <c r="I109" s="388"/>
      <c r="J109" s="393"/>
      <c r="K109" s="388"/>
      <c r="L109" s="388"/>
      <c r="M109" s="388"/>
      <c r="N109" s="388"/>
      <c r="O109" s="503"/>
      <c r="P109" s="509">
        <f t="shared" si="12"/>
        <v>0</v>
      </c>
      <c r="Q109" s="445">
        <f t="shared" si="13"/>
        <v>0</v>
      </c>
      <c r="R109" s="445">
        <f t="shared" si="14"/>
        <v>0</v>
      </c>
      <c r="S109" s="445">
        <f t="shared" si="15"/>
        <v>0</v>
      </c>
      <c r="T109" s="445">
        <f t="shared" si="16"/>
        <v>0</v>
      </c>
      <c r="U109" s="445">
        <f t="shared" si="17"/>
        <v>0</v>
      </c>
      <c r="V109" s="445">
        <f t="shared" si="18"/>
        <v>0</v>
      </c>
      <c r="W109" s="446">
        <f t="shared" si="19"/>
        <v>0</v>
      </c>
      <c r="X109">
        <f>IF(ISNA(VLOOKUP((CONCATENATE("Standing Long Jump-",I109,"-",Input!J109)),points11,2,)),0,VLOOKUP((CONCATENATE("Standing Long Jump-",I109,"-",Input!J109)),points11,2,))</f>
        <v>0</v>
      </c>
      <c r="Y109">
        <f>IF(ISNA(VLOOKUP((CONCATENATE("Speed Bounce-",I109,"-",Input!K109)),points11,2,)),0,VLOOKUP((CONCATENATE("Speed Bounce-",I109,"-",Input!K109)),points11,2,))</f>
        <v>0</v>
      </c>
      <c r="Z109">
        <f>IF(ISNA(VLOOKUP((CONCATENATE("Target Throw-",I109,"-",Input!L109)),points11,2,)),0,VLOOKUP((CONCATENATE("Target Throw-",I109,"-",Input!L109)),points11,2,))</f>
        <v>0</v>
      </c>
      <c r="AA109">
        <f>IF(ISNA(VLOOKUP((CONCATENATE("Hi-Stepper-",I109,"-",Input!M109)),points11,2,)),0,VLOOKUP((CONCATENATE("Hi-Stepper-",I109,"-",Input!M109)),points11,2,))</f>
        <v>0</v>
      </c>
      <c r="AB109">
        <f>IF(ISNA(VLOOKUP((CONCATENATE("Chest Push-",I109,"-",Input!N109)),points11,2,)),0,VLOOKUP((CONCATENATE("Chest Push-",I109,"-",Input!N109)),points11,2,))</f>
        <v>0</v>
      </c>
      <c r="AC109">
        <f>IF(ISNA(VLOOKUP((CONCATENATE("Javelin Throw-",I109,"-",Input!O109)),points11,2,)),0,VLOOKUP((CONCATENATE("Javelin Throw-",I109,"-",Input!O109)),points11,2,))</f>
        <v>0</v>
      </c>
      <c r="AD109">
        <f t="shared" si="20"/>
        <v>0</v>
      </c>
      <c r="AE109" t="str">
        <f t="shared" si="21"/>
        <v xml:space="preserve"> </v>
      </c>
      <c r="AF109">
        <f t="shared" si="22"/>
        <v>0</v>
      </c>
    </row>
    <row r="110" spans="2:32" ht="15" thickBot="1" x14ac:dyDescent="0.4">
      <c r="B110" s="631"/>
      <c r="C110" s="520">
        <v>4</v>
      </c>
      <c r="D110" s="289">
        <v>9</v>
      </c>
      <c r="E110" s="387"/>
      <c r="F110" s="362"/>
      <c r="G110" s="388"/>
      <c r="H110" s="388"/>
      <c r="I110" s="388"/>
      <c r="J110" s="393"/>
      <c r="K110" s="388"/>
      <c r="L110" s="388"/>
      <c r="M110" s="388"/>
      <c r="N110" s="388"/>
      <c r="O110" s="503"/>
      <c r="P110" s="509">
        <f t="shared" si="12"/>
        <v>0</v>
      </c>
      <c r="Q110" s="445">
        <f t="shared" si="13"/>
        <v>0</v>
      </c>
      <c r="R110" s="445">
        <f t="shared" si="14"/>
        <v>0</v>
      </c>
      <c r="S110" s="445">
        <f t="shared" si="15"/>
        <v>0</v>
      </c>
      <c r="T110" s="445">
        <f t="shared" si="16"/>
        <v>0</v>
      </c>
      <c r="U110" s="445">
        <f t="shared" si="17"/>
        <v>0</v>
      </c>
      <c r="V110" s="445">
        <f t="shared" si="18"/>
        <v>0</v>
      </c>
      <c r="W110" s="446">
        <f t="shared" si="19"/>
        <v>0</v>
      </c>
      <c r="X110">
        <f>IF(ISNA(VLOOKUP((CONCATENATE("Standing Long Jump-",I110,"-",Input!J110)),points11,2,)),0,VLOOKUP((CONCATENATE("Standing Long Jump-",I110,"-",Input!J110)),points11,2,))</f>
        <v>0</v>
      </c>
      <c r="Y110">
        <f>IF(ISNA(VLOOKUP((CONCATENATE("Speed Bounce-",I110,"-",Input!K110)),points11,2,)),0,VLOOKUP((CONCATENATE("Speed Bounce-",I110,"-",Input!K110)),points11,2,))</f>
        <v>0</v>
      </c>
      <c r="Z110">
        <f>IF(ISNA(VLOOKUP((CONCATENATE("Target Throw-",I110,"-",Input!L110)),points11,2,)),0,VLOOKUP((CONCATENATE("Target Throw-",I110,"-",Input!L110)),points11,2,))</f>
        <v>0</v>
      </c>
      <c r="AA110">
        <f>IF(ISNA(VLOOKUP((CONCATENATE("Hi-Stepper-",I110,"-",Input!M110)),points11,2,)),0,VLOOKUP((CONCATENATE("Hi-Stepper-",I110,"-",Input!M110)),points11,2,))</f>
        <v>0</v>
      </c>
      <c r="AB110">
        <f>IF(ISNA(VLOOKUP((CONCATENATE("Chest Push-",I110,"-",Input!N110)),points11,2,)),0,VLOOKUP((CONCATENATE("Chest Push-",I110,"-",Input!N110)),points11,2,))</f>
        <v>0</v>
      </c>
      <c r="AC110">
        <f>IF(ISNA(VLOOKUP((CONCATENATE("Javelin Throw-",I110,"-",Input!O110)),points11,2,)),0,VLOOKUP((CONCATENATE("Javelin Throw-",I110,"-",Input!O110)),points11,2,))</f>
        <v>0</v>
      </c>
      <c r="AD110">
        <f t="shared" si="20"/>
        <v>0</v>
      </c>
      <c r="AE110" t="str">
        <f t="shared" si="21"/>
        <v xml:space="preserve"> </v>
      </c>
      <c r="AF110">
        <f t="shared" si="22"/>
        <v>0</v>
      </c>
    </row>
    <row r="111" spans="2:32" ht="15" thickBot="1" x14ac:dyDescent="0.4">
      <c r="B111" s="631"/>
      <c r="C111" s="520">
        <v>5</v>
      </c>
      <c r="D111" s="289">
        <v>9</v>
      </c>
      <c r="E111" s="387"/>
      <c r="F111" s="362"/>
      <c r="G111" s="388"/>
      <c r="H111" s="388"/>
      <c r="I111" s="388"/>
      <c r="J111" s="393"/>
      <c r="K111" s="388"/>
      <c r="L111" s="388"/>
      <c r="M111" s="388"/>
      <c r="N111" s="388"/>
      <c r="O111" s="503"/>
      <c r="P111" s="509">
        <f t="shared" si="12"/>
        <v>0</v>
      </c>
      <c r="Q111" s="445">
        <f t="shared" si="13"/>
        <v>0</v>
      </c>
      <c r="R111" s="445">
        <f t="shared" si="14"/>
        <v>0</v>
      </c>
      <c r="S111" s="445">
        <f t="shared" si="15"/>
        <v>0</v>
      </c>
      <c r="T111" s="445">
        <f t="shared" si="16"/>
        <v>0</v>
      </c>
      <c r="U111" s="445">
        <f t="shared" si="17"/>
        <v>0</v>
      </c>
      <c r="V111" s="445">
        <f t="shared" si="18"/>
        <v>0</v>
      </c>
      <c r="W111" s="446">
        <f t="shared" si="19"/>
        <v>0</v>
      </c>
      <c r="X111">
        <f>IF(ISNA(VLOOKUP((CONCATENATE("Standing Long Jump-",I111,"-",Input!J111)),points11,2,)),0,VLOOKUP((CONCATENATE("Standing Long Jump-",I111,"-",Input!J111)),points11,2,))</f>
        <v>0</v>
      </c>
      <c r="Y111">
        <f>IF(ISNA(VLOOKUP((CONCATENATE("Speed Bounce-",I111,"-",Input!K111)),points11,2,)),0,VLOOKUP((CONCATENATE("Speed Bounce-",I111,"-",Input!K111)),points11,2,))</f>
        <v>0</v>
      </c>
      <c r="Z111">
        <f>IF(ISNA(VLOOKUP((CONCATENATE("Target Throw-",I111,"-",Input!L111)),points11,2,)),0,VLOOKUP((CONCATENATE("Target Throw-",I111,"-",Input!L111)),points11,2,))</f>
        <v>0</v>
      </c>
      <c r="AA111">
        <f>IF(ISNA(VLOOKUP((CONCATENATE("Hi-Stepper-",I111,"-",Input!M111)),points11,2,)),0,VLOOKUP((CONCATENATE("Hi-Stepper-",I111,"-",Input!M111)),points11,2,))</f>
        <v>0</v>
      </c>
      <c r="AB111">
        <f>IF(ISNA(VLOOKUP((CONCATENATE("Chest Push-",I111,"-",Input!N111)),points11,2,)),0,VLOOKUP((CONCATENATE("Chest Push-",I111,"-",Input!N111)),points11,2,))</f>
        <v>0</v>
      </c>
      <c r="AC111">
        <f>IF(ISNA(VLOOKUP((CONCATENATE("Javelin Throw-",I111,"-",Input!O111)),points11,2,)),0,VLOOKUP((CONCATENATE("Javelin Throw-",I111,"-",Input!O111)),points11,2,))</f>
        <v>0</v>
      </c>
      <c r="AD111">
        <f t="shared" si="20"/>
        <v>0</v>
      </c>
      <c r="AE111" t="str">
        <f t="shared" si="21"/>
        <v xml:space="preserve"> </v>
      </c>
      <c r="AF111">
        <f t="shared" si="22"/>
        <v>0</v>
      </c>
    </row>
    <row r="112" spans="2:32" ht="15" thickBot="1" x14ac:dyDescent="0.4">
      <c r="B112" s="631"/>
      <c r="C112" s="520">
        <v>6</v>
      </c>
      <c r="D112" s="289">
        <v>9</v>
      </c>
      <c r="E112" s="387"/>
      <c r="F112" s="362"/>
      <c r="G112" s="388"/>
      <c r="H112" s="388"/>
      <c r="I112" s="388"/>
      <c r="J112" s="393"/>
      <c r="K112" s="388"/>
      <c r="L112" s="388"/>
      <c r="M112" s="388"/>
      <c r="N112" s="388"/>
      <c r="O112" s="503"/>
      <c r="P112" s="509">
        <f t="shared" si="12"/>
        <v>0</v>
      </c>
      <c r="Q112" s="445">
        <f t="shared" si="13"/>
        <v>0</v>
      </c>
      <c r="R112" s="445">
        <f t="shared" si="14"/>
        <v>0</v>
      </c>
      <c r="S112" s="445">
        <f t="shared" si="15"/>
        <v>0</v>
      </c>
      <c r="T112" s="445">
        <f t="shared" si="16"/>
        <v>0</v>
      </c>
      <c r="U112" s="445">
        <f t="shared" si="17"/>
        <v>0</v>
      </c>
      <c r="V112" s="445">
        <f t="shared" si="18"/>
        <v>0</v>
      </c>
      <c r="W112" s="446">
        <f t="shared" si="19"/>
        <v>0</v>
      </c>
      <c r="X112">
        <f>IF(ISNA(VLOOKUP((CONCATENATE("Standing Long Jump-",I112,"-",Input!J112)),points11,2,)),0,VLOOKUP((CONCATENATE("Standing Long Jump-",I112,"-",Input!J112)),points11,2,))</f>
        <v>0</v>
      </c>
      <c r="Y112">
        <f>IF(ISNA(VLOOKUP((CONCATENATE("Speed Bounce-",I112,"-",Input!K112)),points11,2,)),0,VLOOKUP((CONCATENATE("Speed Bounce-",I112,"-",Input!K112)),points11,2,))</f>
        <v>0</v>
      </c>
      <c r="Z112">
        <f>IF(ISNA(VLOOKUP((CONCATENATE("Target Throw-",I112,"-",Input!L112)),points11,2,)),0,VLOOKUP((CONCATENATE("Target Throw-",I112,"-",Input!L112)),points11,2,))</f>
        <v>0</v>
      </c>
      <c r="AA112">
        <f>IF(ISNA(VLOOKUP((CONCATENATE("Hi-Stepper-",I112,"-",Input!M112)),points11,2,)),0,VLOOKUP((CONCATENATE("Hi-Stepper-",I112,"-",Input!M112)),points11,2,))</f>
        <v>0</v>
      </c>
      <c r="AB112">
        <f>IF(ISNA(VLOOKUP((CONCATENATE("Chest Push-",I112,"-",Input!N112)),points11,2,)),0,VLOOKUP((CONCATENATE("Chest Push-",I112,"-",Input!N112)),points11,2,))</f>
        <v>0</v>
      </c>
      <c r="AC112">
        <f>IF(ISNA(VLOOKUP((CONCATENATE("Javelin Throw-",I112,"-",Input!O112)),points11,2,)),0,VLOOKUP((CONCATENATE("Javelin Throw-",I112,"-",Input!O112)),points11,2,))</f>
        <v>0</v>
      </c>
      <c r="AD112">
        <f t="shared" si="20"/>
        <v>0</v>
      </c>
      <c r="AE112" t="str">
        <f t="shared" si="21"/>
        <v xml:space="preserve"> </v>
      </c>
      <c r="AF112">
        <f t="shared" si="22"/>
        <v>0</v>
      </c>
    </row>
    <row r="113" spans="2:32" ht="15" thickBot="1" x14ac:dyDescent="0.4">
      <c r="B113" s="631"/>
      <c r="C113" s="520">
        <v>7</v>
      </c>
      <c r="D113" s="289">
        <v>9</v>
      </c>
      <c r="E113" s="387"/>
      <c r="F113" s="362"/>
      <c r="G113" s="388"/>
      <c r="H113" s="388"/>
      <c r="I113" s="388"/>
      <c r="J113" s="393"/>
      <c r="K113" s="388"/>
      <c r="L113" s="388"/>
      <c r="M113" s="388"/>
      <c r="N113" s="388"/>
      <c r="O113" s="503"/>
      <c r="P113" s="509">
        <f t="shared" si="12"/>
        <v>0</v>
      </c>
      <c r="Q113" s="445">
        <f t="shared" si="13"/>
        <v>0</v>
      </c>
      <c r="R113" s="445">
        <f t="shared" si="14"/>
        <v>0</v>
      </c>
      <c r="S113" s="445">
        <f t="shared" si="15"/>
        <v>0</v>
      </c>
      <c r="T113" s="445">
        <f t="shared" si="16"/>
        <v>0</v>
      </c>
      <c r="U113" s="445">
        <f t="shared" si="17"/>
        <v>0</v>
      </c>
      <c r="V113" s="445">
        <f t="shared" si="18"/>
        <v>0</v>
      </c>
      <c r="W113" s="446">
        <f t="shared" si="19"/>
        <v>0</v>
      </c>
      <c r="X113">
        <f>IF(ISNA(VLOOKUP((CONCATENATE("Standing Long Jump-",I113,"-",Input!J113)),points11,2,)),0,VLOOKUP((CONCATENATE("Standing Long Jump-",I113,"-",Input!J113)),points11,2,))</f>
        <v>0</v>
      </c>
      <c r="Y113">
        <f>IF(ISNA(VLOOKUP((CONCATENATE("Speed Bounce-",I113,"-",Input!K113)),points11,2,)),0,VLOOKUP((CONCATENATE("Speed Bounce-",I113,"-",Input!K113)),points11,2,))</f>
        <v>0</v>
      </c>
      <c r="Z113">
        <f>IF(ISNA(VLOOKUP((CONCATENATE("Target Throw-",I113,"-",Input!L113)),points11,2,)),0,VLOOKUP((CONCATENATE("Target Throw-",I113,"-",Input!L113)),points11,2,))</f>
        <v>0</v>
      </c>
      <c r="AA113">
        <f>IF(ISNA(VLOOKUP((CONCATENATE("Hi-Stepper-",I113,"-",Input!M113)),points11,2,)),0,VLOOKUP((CONCATENATE("Hi-Stepper-",I113,"-",Input!M113)),points11,2,))</f>
        <v>0</v>
      </c>
      <c r="AB113">
        <f>IF(ISNA(VLOOKUP((CONCATENATE("Chest Push-",I113,"-",Input!N113)),points11,2,)),0,VLOOKUP((CONCATENATE("Chest Push-",I113,"-",Input!N113)),points11,2,))</f>
        <v>0</v>
      </c>
      <c r="AC113">
        <f>IF(ISNA(VLOOKUP((CONCATENATE("Javelin Throw-",I113,"-",Input!O113)),points11,2,)),0,VLOOKUP((CONCATENATE("Javelin Throw-",I113,"-",Input!O113)),points11,2,))</f>
        <v>0</v>
      </c>
      <c r="AD113">
        <f t="shared" si="20"/>
        <v>0</v>
      </c>
      <c r="AE113" t="str">
        <f t="shared" si="21"/>
        <v xml:space="preserve"> </v>
      </c>
      <c r="AF113">
        <f t="shared" si="22"/>
        <v>0</v>
      </c>
    </row>
    <row r="114" spans="2:32" ht="15" thickBot="1" x14ac:dyDescent="0.4">
      <c r="B114" s="631"/>
      <c r="C114" s="520">
        <v>8</v>
      </c>
      <c r="D114" s="289">
        <v>9</v>
      </c>
      <c r="E114" s="387"/>
      <c r="F114" s="362"/>
      <c r="G114" s="388"/>
      <c r="H114" s="388"/>
      <c r="I114" s="388"/>
      <c r="J114" s="393"/>
      <c r="K114" s="388"/>
      <c r="L114" s="388"/>
      <c r="M114" s="388"/>
      <c r="N114" s="388"/>
      <c r="O114" s="503"/>
      <c r="P114" s="509">
        <f t="shared" si="12"/>
        <v>0</v>
      </c>
      <c r="Q114" s="445">
        <f t="shared" si="13"/>
        <v>0</v>
      </c>
      <c r="R114" s="445">
        <f t="shared" si="14"/>
        <v>0</v>
      </c>
      <c r="S114" s="445">
        <f t="shared" si="15"/>
        <v>0</v>
      </c>
      <c r="T114" s="445">
        <f t="shared" si="16"/>
        <v>0</v>
      </c>
      <c r="U114" s="445">
        <f t="shared" si="17"/>
        <v>0</v>
      </c>
      <c r="V114" s="445">
        <f t="shared" si="18"/>
        <v>0</v>
      </c>
      <c r="W114" s="446">
        <f t="shared" si="19"/>
        <v>0</v>
      </c>
      <c r="X114">
        <f>IF(ISNA(VLOOKUP((CONCATENATE("Standing Long Jump-",I114,"-",Input!J114)),points11,2,)),0,VLOOKUP((CONCATENATE("Standing Long Jump-",I114,"-",Input!J114)),points11,2,))</f>
        <v>0</v>
      </c>
      <c r="Y114">
        <f>IF(ISNA(VLOOKUP((CONCATENATE("Speed Bounce-",I114,"-",Input!K114)),points11,2,)),0,VLOOKUP((CONCATENATE("Speed Bounce-",I114,"-",Input!K114)),points11,2,))</f>
        <v>0</v>
      </c>
      <c r="Z114">
        <f>IF(ISNA(VLOOKUP((CONCATENATE("Target Throw-",I114,"-",Input!L114)),points11,2,)),0,VLOOKUP((CONCATENATE("Target Throw-",I114,"-",Input!L114)),points11,2,))</f>
        <v>0</v>
      </c>
      <c r="AA114">
        <f>IF(ISNA(VLOOKUP((CONCATENATE("Hi-Stepper-",I114,"-",Input!M114)),points11,2,)),0,VLOOKUP((CONCATENATE("Hi-Stepper-",I114,"-",Input!M114)),points11,2,))</f>
        <v>0</v>
      </c>
      <c r="AB114">
        <f>IF(ISNA(VLOOKUP((CONCATENATE("Chest Push-",I114,"-",Input!N114)),points11,2,)),0,VLOOKUP((CONCATENATE("Chest Push-",I114,"-",Input!N114)),points11,2,))</f>
        <v>0</v>
      </c>
      <c r="AC114">
        <f>IF(ISNA(VLOOKUP((CONCATENATE("Javelin Throw-",I114,"-",Input!O114)),points11,2,)),0,VLOOKUP((CONCATENATE("Javelin Throw-",I114,"-",Input!O114)),points11,2,))</f>
        <v>0</v>
      </c>
      <c r="AD114">
        <f t="shared" si="20"/>
        <v>0</v>
      </c>
      <c r="AE114" t="str">
        <f t="shared" si="21"/>
        <v xml:space="preserve"> </v>
      </c>
      <c r="AF114">
        <f t="shared" si="22"/>
        <v>0</v>
      </c>
    </row>
    <row r="115" spans="2:32" ht="15" thickBot="1" x14ac:dyDescent="0.4">
      <c r="B115" s="631"/>
      <c r="C115" s="520">
        <v>9</v>
      </c>
      <c r="D115" s="289">
        <v>9</v>
      </c>
      <c r="E115" s="387"/>
      <c r="F115" s="362"/>
      <c r="G115" s="388"/>
      <c r="H115" s="388"/>
      <c r="I115" s="388"/>
      <c r="J115" s="393"/>
      <c r="K115" s="388"/>
      <c r="L115" s="388"/>
      <c r="M115" s="388"/>
      <c r="N115" s="388"/>
      <c r="O115" s="503"/>
      <c r="P115" s="509">
        <f t="shared" si="12"/>
        <v>0</v>
      </c>
      <c r="Q115" s="445">
        <f t="shared" si="13"/>
        <v>0</v>
      </c>
      <c r="R115" s="445">
        <f t="shared" si="14"/>
        <v>0</v>
      </c>
      <c r="S115" s="445">
        <f t="shared" si="15"/>
        <v>0</v>
      </c>
      <c r="T115" s="445">
        <f t="shared" si="16"/>
        <v>0</v>
      </c>
      <c r="U115" s="445">
        <f t="shared" si="17"/>
        <v>0</v>
      </c>
      <c r="V115" s="445">
        <f t="shared" si="18"/>
        <v>0</v>
      </c>
      <c r="W115" s="446">
        <f t="shared" si="19"/>
        <v>0</v>
      </c>
      <c r="X115">
        <f>IF(ISNA(VLOOKUP((CONCATENATE("Standing Long Jump-",I115,"-",Input!J115)),points11,2,)),0,VLOOKUP((CONCATENATE("Standing Long Jump-",I115,"-",Input!J115)),points11,2,))</f>
        <v>0</v>
      </c>
      <c r="Y115">
        <f>IF(ISNA(VLOOKUP((CONCATENATE("Speed Bounce-",I115,"-",Input!K115)),points11,2,)),0,VLOOKUP((CONCATENATE("Speed Bounce-",I115,"-",Input!K115)),points11,2,))</f>
        <v>0</v>
      </c>
      <c r="Z115">
        <f>IF(ISNA(VLOOKUP((CONCATENATE("Target Throw-",I115,"-",Input!L115)),points11,2,)),0,VLOOKUP((CONCATENATE("Target Throw-",I115,"-",Input!L115)),points11,2,))</f>
        <v>0</v>
      </c>
      <c r="AA115">
        <f>IF(ISNA(VLOOKUP((CONCATENATE("Hi-Stepper-",I115,"-",Input!M115)),points11,2,)),0,VLOOKUP((CONCATENATE("Hi-Stepper-",I115,"-",Input!M115)),points11,2,))</f>
        <v>0</v>
      </c>
      <c r="AB115">
        <f>IF(ISNA(VLOOKUP((CONCATENATE("Chest Push-",I115,"-",Input!N115)),points11,2,)),0,VLOOKUP((CONCATENATE("Chest Push-",I115,"-",Input!N115)),points11,2,))</f>
        <v>0</v>
      </c>
      <c r="AC115">
        <f>IF(ISNA(VLOOKUP((CONCATENATE("Javelin Throw-",I115,"-",Input!O115)),points11,2,)),0,VLOOKUP((CONCATENATE("Javelin Throw-",I115,"-",Input!O115)),points11,2,))</f>
        <v>0</v>
      </c>
      <c r="AD115">
        <f t="shared" si="20"/>
        <v>0</v>
      </c>
      <c r="AE115" t="str">
        <f t="shared" si="21"/>
        <v xml:space="preserve"> </v>
      </c>
      <c r="AF115">
        <f t="shared" si="22"/>
        <v>0</v>
      </c>
    </row>
    <row r="116" spans="2:32" ht="15" thickBot="1" x14ac:dyDescent="0.4">
      <c r="B116" s="631"/>
      <c r="C116" s="520">
        <v>10</v>
      </c>
      <c r="D116" s="289">
        <v>9</v>
      </c>
      <c r="E116" s="387"/>
      <c r="F116" s="362"/>
      <c r="G116" s="388"/>
      <c r="H116" s="388"/>
      <c r="I116" s="388"/>
      <c r="J116" s="393"/>
      <c r="K116" s="388"/>
      <c r="L116" s="388"/>
      <c r="M116" s="388"/>
      <c r="N116" s="388"/>
      <c r="O116" s="503"/>
      <c r="P116" s="509">
        <f t="shared" si="12"/>
        <v>0</v>
      </c>
      <c r="Q116" s="445">
        <f t="shared" si="13"/>
        <v>0</v>
      </c>
      <c r="R116" s="445">
        <f t="shared" si="14"/>
        <v>0</v>
      </c>
      <c r="S116" s="445">
        <f t="shared" si="15"/>
        <v>0</v>
      </c>
      <c r="T116" s="445">
        <f t="shared" si="16"/>
        <v>0</v>
      </c>
      <c r="U116" s="445">
        <f t="shared" si="17"/>
        <v>0</v>
      </c>
      <c r="V116" s="445">
        <f t="shared" si="18"/>
        <v>0</v>
      </c>
      <c r="W116" s="446">
        <f t="shared" si="19"/>
        <v>0</v>
      </c>
      <c r="X116">
        <f>IF(ISNA(VLOOKUP((CONCATENATE("Standing Long Jump-",I116,"-",Input!J116)),points11,2,)),0,VLOOKUP((CONCATENATE("Standing Long Jump-",I116,"-",Input!J116)),points11,2,))</f>
        <v>0</v>
      </c>
      <c r="Y116">
        <f>IF(ISNA(VLOOKUP((CONCATENATE("Speed Bounce-",I116,"-",Input!K116)),points11,2,)),0,VLOOKUP((CONCATENATE("Speed Bounce-",I116,"-",Input!K116)),points11,2,))</f>
        <v>0</v>
      </c>
      <c r="Z116">
        <f>IF(ISNA(VLOOKUP((CONCATENATE("Target Throw-",I116,"-",Input!L116)),points11,2,)),0,VLOOKUP((CONCATENATE("Target Throw-",I116,"-",Input!L116)),points11,2,))</f>
        <v>0</v>
      </c>
      <c r="AA116">
        <f>IF(ISNA(VLOOKUP((CONCATENATE("Hi-Stepper-",I116,"-",Input!M116)),points11,2,)),0,VLOOKUP((CONCATENATE("Hi-Stepper-",I116,"-",Input!M116)),points11,2,))</f>
        <v>0</v>
      </c>
      <c r="AB116">
        <f>IF(ISNA(VLOOKUP((CONCATENATE("Chest Push-",I116,"-",Input!N116)),points11,2,)),0,VLOOKUP((CONCATENATE("Chest Push-",I116,"-",Input!N116)),points11,2,))</f>
        <v>0</v>
      </c>
      <c r="AC116">
        <f>IF(ISNA(VLOOKUP((CONCATENATE("Javelin Throw-",I116,"-",Input!O116)),points11,2,)),0,VLOOKUP((CONCATENATE("Javelin Throw-",I116,"-",Input!O116)),points11,2,))</f>
        <v>0</v>
      </c>
      <c r="AD116">
        <f t="shared" si="20"/>
        <v>0</v>
      </c>
      <c r="AE116" t="str">
        <f t="shared" si="21"/>
        <v xml:space="preserve"> </v>
      </c>
      <c r="AF116">
        <f t="shared" si="22"/>
        <v>0</v>
      </c>
    </row>
    <row r="117" spans="2:32" ht="15" thickBot="1" x14ac:dyDescent="0.4">
      <c r="B117" s="631"/>
      <c r="C117" s="520">
        <v>11</v>
      </c>
      <c r="D117" s="289">
        <v>9</v>
      </c>
      <c r="E117" s="387"/>
      <c r="F117" s="362"/>
      <c r="G117" s="388"/>
      <c r="H117" s="388"/>
      <c r="I117" s="388"/>
      <c r="J117" s="393"/>
      <c r="K117" s="388"/>
      <c r="L117" s="388"/>
      <c r="M117" s="388"/>
      <c r="N117" s="388"/>
      <c r="O117" s="503"/>
      <c r="P117" s="509">
        <f t="shared" si="12"/>
        <v>0</v>
      </c>
      <c r="Q117" s="445">
        <f t="shared" si="13"/>
        <v>0</v>
      </c>
      <c r="R117" s="445">
        <f t="shared" si="14"/>
        <v>0</v>
      </c>
      <c r="S117" s="445">
        <f t="shared" si="15"/>
        <v>0</v>
      </c>
      <c r="T117" s="445">
        <f t="shared" si="16"/>
        <v>0</v>
      </c>
      <c r="U117" s="445">
        <f t="shared" si="17"/>
        <v>0</v>
      </c>
      <c r="V117" s="445">
        <f t="shared" si="18"/>
        <v>0</v>
      </c>
      <c r="W117" s="446">
        <f t="shared" si="19"/>
        <v>0</v>
      </c>
      <c r="X117">
        <f>IF(ISNA(VLOOKUP((CONCATENATE("Standing Long Jump-",I117,"-",Input!J117)),points11,2,)),0,VLOOKUP((CONCATENATE("Standing Long Jump-",I117,"-",Input!J117)),points11,2,))</f>
        <v>0</v>
      </c>
      <c r="Y117">
        <f>IF(ISNA(VLOOKUP((CONCATENATE("Speed Bounce-",I117,"-",Input!K117)),points11,2,)),0,VLOOKUP((CONCATENATE("Speed Bounce-",I117,"-",Input!K117)),points11,2,))</f>
        <v>0</v>
      </c>
      <c r="Z117">
        <f>IF(ISNA(VLOOKUP((CONCATENATE("Target Throw-",I117,"-",Input!L117)),points11,2,)),0,VLOOKUP((CONCATENATE("Target Throw-",I117,"-",Input!L117)),points11,2,))</f>
        <v>0</v>
      </c>
      <c r="AA117">
        <f>IF(ISNA(VLOOKUP((CONCATENATE("Hi-Stepper-",I117,"-",Input!M117)),points11,2,)),0,VLOOKUP((CONCATENATE("Hi-Stepper-",I117,"-",Input!M117)),points11,2,))</f>
        <v>0</v>
      </c>
      <c r="AB117">
        <f>IF(ISNA(VLOOKUP((CONCATENATE("Chest Push-",I117,"-",Input!N117)),points11,2,)),0,VLOOKUP((CONCATENATE("Chest Push-",I117,"-",Input!N117)),points11,2,))</f>
        <v>0</v>
      </c>
      <c r="AC117">
        <f>IF(ISNA(VLOOKUP((CONCATENATE("Javelin Throw-",I117,"-",Input!O117)),points11,2,)),0,VLOOKUP((CONCATENATE("Javelin Throw-",I117,"-",Input!O117)),points11,2,))</f>
        <v>0</v>
      </c>
      <c r="AD117">
        <f t="shared" si="20"/>
        <v>0</v>
      </c>
      <c r="AE117" t="str">
        <f t="shared" si="21"/>
        <v xml:space="preserve"> </v>
      </c>
      <c r="AF117">
        <f t="shared" si="22"/>
        <v>0</v>
      </c>
    </row>
    <row r="118" spans="2:32" ht="15" thickBot="1" x14ac:dyDescent="0.4">
      <c r="B118" s="631"/>
      <c r="C118" s="520">
        <v>12</v>
      </c>
      <c r="D118" s="289">
        <v>9</v>
      </c>
      <c r="E118" s="394"/>
      <c r="F118" s="395"/>
      <c r="G118" s="396"/>
      <c r="H118" s="396"/>
      <c r="I118" s="396"/>
      <c r="J118" s="397"/>
      <c r="K118" s="396"/>
      <c r="L118" s="396"/>
      <c r="M118" s="396"/>
      <c r="N118" s="396"/>
      <c r="O118" s="506"/>
      <c r="P118" s="510">
        <f t="shared" si="12"/>
        <v>0</v>
      </c>
      <c r="Q118" s="447">
        <f t="shared" si="13"/>
        <v>0</v>
      </c>
      <c r="R118" s="447">
        <f t="shared" si="14"/>
        <v>0</v>
      </c>
      <c r="S118" s="447">
        <f t="shared" si="15"/>
        <v>0</v>
      </c>
      <c r="T118" s="447">
        <f t="shared" si="16"/>
        <v>0</v>
      </c>
      <c r="U118" s="447">
        <f t="shared" si="17"/>
        <v>0</v>
      </c>
      <c r="V118" s="447">
        <f t="shared" si="18"/>
        <v>0</v>
      </c>
      <c r="W118" s="448">
        <f t="shared" si="19"/>
        <v>0</v>
      </c>
      <c r="X118">
        <f>IF(ISNA(VLOOKUP((CONCATENATE("Standing Long Jump-",I118,"-",Input!J118)),points11,2,)),0,VLOOKUP((CONCATENATE("Standing Long Jump-",I118,"-",Input!J118)),points11,2,))</f>
        <v>0</v>
      </c>
      <c r="Y118">
        <f>IF(ISNA(VLOOKUP((CONCATENATE("Speed Bounce-",I118,"-",Input!K118)),points11,2,)),0,VLOOKUP((CONCATENATE("Speed Bounce-",I118,"-",Input!K118)),points11,2,))</f>
        <v>0</v>
      </c>
      <c r="Z118">
        <f>IF(ISNA(VLOOKUP((CONCATENATE("Target Throw-",I118,"-",Input!L118)),points11,2,)),0,VLOOKUP((CONCATENATE("Target Throw-",I118,"-",Input!L118)),points11,2,))</f>
        <v>0</v>
      </c>
      <c r="AA118">
        <f>IF(ISNA(VLOOKUP((CONCATENATE("Hi-Stepper-",I118,"-",Input!M118)),points11,2,)),0,VLOOKUP((CONCATENATE("Hi-Stepper-",I118,"-",Input!M118)),points11,2,))</f>
        <v>0</v>
      </c>
      <c r="AB118">
        <f>IF(ISNA(VLOOKUP((CONCATENATE("Chest Push-",I118,"-",Input!N118)),points11,2,)),0,VLOOKUP((CONCATENATE("Chest Push-",I118,"-",Input!N118)),points11,2,))</f>
        <v>0</v>
      </c>
      <c r="AC118">
        <f>IF(ISNA(VLOOKUP((CONCATENATE("Javelin Throw-",I118,"-",Input!O118)),points11,2,)),0,VLOOKUP((CONCATENATE("Javelin Throw-",I118,"-",Input!O118)),points11,2,))</f>
        <v>0</v>
      </c>
      <c r="AD118">
        <f t="shared" si="20"/>
        <v>0</v>
      </c>
      <c r="AE118" t="str">
        <f t="shared" si="21"/>
        <v xml:space="preserve"> </v>
      </c>
      <c r="AF118">
        <f t="shared" si="22"/>
        <v>0</v>
      </c>
    </row>
    <row r="119" spans="2:32" ht="15" thickBot="1" x14ac:dyDescent="0.4">
      <c r="B119" s="631" t="str">
        <f>'Competition Menu'!C20</f>
        <v>Team 10</v>
      </c>
      <c r="C119" s="520">
        <v>1</v>
      </c>
      <c r="D119" s="289">
        <v>10</v>
      </c>
      <c r="E119" s="421"/>
      <c r="F119" s="407"/>
      <c r="G119" s="422"/>
      <c r="H119" s="422"/>
      <c r="I119" s="422"/>
      <c r="J119" s="431"/>
      <c r="K119" s="422"/>
      <c r="L119" s="422"/>
      <c r="M119" s="422"/>
      <c r="N119" s="422"/>
      <c r="O119" s="507"/>
      <c r="P119" s="511">
        <f t="shared" si="12"/>
        <v>0</v>
      </c>
      <c r="Q119" s="449">
        <f t="shared" si="13"/>
        <v>0</v>
      </c>
      <c r="R119" s="449">
        <f t="shared" si="14"/>
        <v>0</v>
      </c>
      <c r="S119" s="449">
        <f t="shared" si="15"/>
        <v>0</v>
      </c>
      <c r="T119" s="449">
        <f t="shared" si="16"/>
        <v>0</v>
      </c>
      <c r="U119" s="449">
        <f t="shared" si="17"/>
        <v>0</v>
      </c>
      <c r="V119" s="449">
        <f t="shared" si="18"/>
        <v>0</v>
      </c>
      <c r="W119" s="450">
        <f t="shared" si="19"/>
        <v>0</v>
      </c>
      <c r="X119">
        <f>IF(ISNA(VLOOKUP((CONCATENATE("Standing Long Jump-",I119,"-",Input!J119)),points11,2,)),0,VLOOKUP((CONCATENATE("Standing Long Jump-",I119,"-",Input!J119)),points11,2,))</f>
        <v>0</v>
      </c>
      <c r="Y119">
        <f>IF(ISNA(VLOOKUP((CONCATENATE("Speed Bounce-",I119,"-",Input!K119)),points11,2,)),0,VLOOKUP((CONCATENATE("Speed Bounce-",I119,"-",Input!K119)),points11,2,))</f>
        <v>0</v>
      </c>
      <c r="Z119">
        <f>IF(ISNA(VLOOKUP((CONCATENATE("Target Throw-",I119,"-",Input!L119)),points11,2,)),0,VLOOKUP((CONCATENATE("Target Throw-",I119,"-",Input!L119)),points11,2,))</f>
        <v>0</v>
      </c>
      <c r="AA119">
        <f>IF(ISNA(VLOOKUP((CONCATENATE("Hi-Stepper-",I119,"-",Input!M119)),points11,2,)),0,VLOOKUP((CONCATENATE("Hi-Stepper-",I119,"-",Input!M119)),points11,2,))</f>
        <v>0</v>
      </c>
      <c r="AB119">
        <f>IF(ISNA(VLOOKUP((CONCATENATE("Chest Push-",I119,"-",Input!N119)),points11,2,)),0,VLOOKUP((CONCATENATE("Chest Push-",I119,"-",Input!N119)),points11,2,))</f>
        <v>0</v>
      </c>
      <c r="AC119">
        <f>IF(ISNA(VLOOKUP((CONCATENATE("Javelin Throw-",I119,"-",Input!O119)),points11,2,)),0,VLOOKUP((CONCATENATE("Javelin Throw-",I119,"-",Input!O119)),points11,2,))</f>
        <v>0</v>
      </c>
      <c r="AD119">
        <f t="shared" si="20"/>
        <v>0</v>
      </c>
      <c r="AE119" t="str">
        <f t="shared" si="21"/>
        <v xml:space="preserve"> </v>
      </c>
      <c r="AF119">
        <f t="shared" si="22"/>
        <v>0</v>
      </c>
    </row>
    <row r="120" spans="2:32" ht="15" thickBot="1" x14ac:dyDescent="0.4">
      <c r="B120" s="631"/>
      <c r="C120" s="520">
        <v>2</v>
      </c>
      <c r="D120" s="289">
        <v>10</v>
      </c>
      <c r="E120" s="387"/>
      <c r="F120" s="362"/>
      <c r="G120" s="388"/>
      <c r="H120" s="388"/>
      <c r="I120" s="388"/>
      <c r="J120" s="393"/>
      <c r="K120" s="388"/>
      <c r="L120" s="388"/>
      <c r="M120" s="388"/>
      <c r="N120" s="388"/>
      <c r="O120" s="503"/>
      <c r="P120" s="509">
        <f t="shared" si="12"/>
        <v>0</v>
      </c>
      <c r="Q120" s="445">
        <f t="shared" si="13"/>
        <v>0</v>
      </c>
      <c r="R120" s="445">
        <f t="shared" si="14"/>
        <v>0</v>
      </c>
      <c r="S120" s="445">
        <f t="shared" si="15"/>
        <v>0</v>
      </c>
      <c r="T120" s="445">
        <f t="shared" si="16"/>
        <v>0</v>
      </c>
      <c r="U120" s="445">
        <f t="shared" si="17"/>
        <v>0</v>
      </c>
      <c r="V120" s="445">
        <f t="shared" si="18"/>
        <v>0</v>
      </c>
      <c r="W120" s="446">
        <f t="shared" si="19"/>
        <v>0</v>
      </c>
      <c r="X120">
        <f>IF(ISNA(VLOOKUP((CONCATENATE("Standing Long Jump-",I120,"-",Input!J120)),points11,2,)),0,VLOOKUP((CONCATENATE("Standing Long Jump-",I120,"-",Input!J120)),points11,2,))</f>
        <v>0</v>
      </c>
      <c r="Y120">
        <f>IF(ISNA(VLOOKUP((CONCATENATE("Speed Bounce-",I120,"-",Input!K120)),points11,2,)),0,VLOOKUP((CONCATENATE("Speed Bounce-",I120,"-",Input!K120)),points11,2,))</f>
        <v>0</v>
      </c>
      <c r="Z120">
        <f>IF(ISNA(VLOOKUP((CONCATENATE("Target Throw-",I120,"-",Input!L120)),points11,2,)),0,VLOOKUP((CONCATENATE("Target Throw-",I120,"-",Input!L120)),points11,2,))</f>
        <v>0</v>
      </c>
      <c r="AA120">
        <f>IF(ISNA(VLOOKUP((CONCATENATE("Hi-Stepper-",I120,"-",Input!M120)),points11,2,)),0,VLOOKUP((CONCATENATE("Hi-Stepper-",I120,"-",Input!M120)),points11,2,))</f>
        <v>0</v>
      </c>
      <c r="AB120">
        <f>IF(ISNA(VLOOKUP((CONCATENATE("Chest Push-",I120,"-",Input!N120)),points11,2,)),0,VLOOKUP((CONCATENATE("Chest Push-",I120,"-",Input!N120)),points11,2,))</f>
        <v>0</v>
      </c>
      <c r="AC120">
        <f>IF(ISNA(VLOOKUP((CONCATENATE("Javelin Throw-",I120,"-",Input!O120)),points11,2,)),0,VLOOKUP((CONCATENATE("Javelin Throw-",I120,"-",Input!O120)),points11,2,))</f>
        <v>0</v>
      </c>
      <c r="AD120">
        <f t="shared" si="20"/>
        <v>0</v>
      </c>
      <c r="AE120" t="str">
        <f t="shared" si="21"/>
        <v xml:space="preserve"> </v>
      </c>
      <c r="AF120">
        <f t="shared" si="22"/>
        <v>0</v>
      </c>
    </row>
    <row r="121" spans="2:32" ht="15" thickBot="1" x14ac:dyDescent="0.4">
      <c r="B121" s="631"/>
      <c r="C121" s="520">
        <v>3</v>
      </c>
      <c r="D121" s="289">
        <v>10</v>
      </c>
      <c r="E121" s="387"/>
      <c r="F121" s="362"/>
      <c r="G121" s="388"/>
      <c r="H121" s="388"/>
      <c r="I121" s="388"/>
      <c r="J121" s="393"/>
      <c r="K121" s="388"/>
      <c r="L121" s="388"/>
      <c r="M121" s="388"/>
      <c r="N121" s="388"/>
      <c r="O121" s="503"/>
      <c r="P121" s="509">
        <f t="shared" si="12"/>
        <v>0</v>
      </c>
      <c r="Q121" s="445">
        <f t="shared" si="13"/>
        <v>0</v>
      </c>
      <c r="R121" s="445">
        <f t="shared" si="14"/>
        <v>0</v>
      </c>
      <c r="S121" s="445">
        <f t="shared" si="15"/>
        <v>0</v>
      </c>
      <c r="T121" s="445">
        <f t="shared" si="16"/>
        <v>0</v>
      </c>
      <c r="U121" s="445">
        <f t="shared" si="17"/>
        <v>0</v>
      </c>
      <c r="V121" s="445">
        <f t="shared" si="18"/>
        <v>0</v>
      </c>
      <c r="W121" s="446">
        <f t="shared" si="19"/>
        <v>0</v>
      </c>
      <c r="X121">
        <f>IF(ISNA(VLOOKUP((CONCATENATE("Standing Long Jump-",I121,"-",Input!J121)),points11,2,)),0,VLOOKUP((CONCATENATE("Standing Long Jump-",I121,"-",Input!J121)),points11,2,))</f>
        <v>0</v>
      </c>
      <c r="Y121">
        <f>IF(ISNA(VLOOKUP((CONCATENATE("Speed Bounce-",I121,"-",Input!K121)),points11,2,)),0,VLOOKUP((CONCATENATE("Speed Bounce-",I121,"-",Input!K121)),points11,2,))</f>
        <v>0</v>
      </c>
      <c r="Z121">
        <f>IF(ISNA(VLOOKUP((CONCATENATE("Target Throw-",I121,"-",Input!L121)),points11,2,)),0,VLOOKUP((CONCATENATE("Target Throw-",I121,"-",Input!L121)),points11,2,))</f>
        <v>0</v>
      </c>
      <c r="AA121">
        <f>IF(ISNA(VLOOKUP((CONCATENATE("Hi-Stepper-",I121,"-",Input!M121)),points11,2,)),0,VLOOKUP((CONCATENATE("Hi-Stepper-",I121,"-",Input!M121)),points11,2,))</f>
        <v>0</v>
      </c>
      <c r="AB121">
        <f>IF(ISNA(VLOOKUP((CONCATENATE("Chest Push-",I121,"-",Input!N121)),points11,2,)),0,VLOOKUP((CONCATENATE("Chest Push-",I121,"-",Input!N121)),points11,2,))</f>
        <v>0</v>
      </c>
      <c r="AC121">
        <f>IF(ISNA(VLOOKUP((CONCATENATE("Javelin Throw-",I121,"-",Input!O121)),points11,2,)),0,VLOOKUP((CONCATENATE("Javelin Throw-",I121,"-",Input!O121)),points11,2,))</f>
        <v>0</v>
      </c>
      <c r="AD121">
        <f t="shared" si="20"/>
        <v>0</v>
      </c>
      <c r="AE121" t="str">
        <f t="shared" si="21"/>
        <v xml:space="preserve"> </v>
      </c>
      <c r="AF121">
        <f t="shared" si="22"/>
        <v>0</v>
      </c>
    </row>
    <row r="122" spans="2:32" ht="15" thickBot="1" x14ac:dyDescent="0.4">
      <c r="B122" s="631"/>
      <c r="C122" s="520">
        <v>4</v>
      </c>
      <c r="D122" s="289">
        <v>10</v>
      </c>
      <c r="E122" s="387"/>
      <c r="F122" s="362"/>
      <c r="G122" s="388"/>
      <c r="H122" s="388"/>
      <c r="I122" s="388"/>
      <c r="J122" s="393"/>
      <c r="K122" s="388"/>
      <c r="L122" s="388"/>
      <c r="M122" s="388"/>
      <c r="N122" s="388"/>
      <c r="O122" s="503"/>
      <c r="P122" s="509">
        <f t="shared" si="12"/>
        <v>0</v>
      </c>
      <c r="Q122" s="445">
        <f t="shared" si="13"/>
        <v>0</v>
      </c>
      <c r="R122" s="445">
        <f t="shared" si="14"/>
        <v>0</v>
      </c>
      <c r="S122" s="445">
        <f t="shared" si="15"/>
        <v>0</v>
      </c>
      <c r="T122" s="445">
        <f t="shared" si="16"/>
        <v>0</v>
      </c>
      <c r="U122" s="445">
        <f t="shared" si="17"/>
        <v>0</v>
      </c>
      <c r="V122" s="445">
        <f t="shared" si="18"/>
        <v>0</v>
      </c>
      <c r="W122" s="446">
        <f t="shared" si="19"/>
        <v>0</v>
      </c>
      <c r="X122">
        <f>IF(ISNA(VLOOKUP((CONCATENATE("Standing Long Jump-",I122,"-",Input!J122)),points11,2,)),0,VLOOKUP((CONCATENATE("Standing Long Jump-",I122,"-",Input!J122)),points11,2,))</f>
        <v>0</v>
      </c>
      <c r="Y122">
        <f>IF(ISNA(VLOOKUP((CONCATENATE("Speed Bounce-",I122,"-",Input!K122)),points11,2,)),0,VLOOKUP((CONCATENATE("Speed Bounce-",I122,"-",Input!K122)),points11,2,))</f>
        <v>0</v>
      </c>
      <c r="Z122">
        <f>IF(ISNA(VLOOKUP((CONCATENATE("Target Throw-",I122,"-",Input!L122)),points11,2,)),0,VLOOKUP((CONCATENATE("Target Throw-",I122,"-",Input!L122)),points11,2,))</f>
        <v>0</v>
      </c>
      <c r="AA122">
        <f>IF(ISNA(VLOOKUP((CONCATENATE("Hi-Stepper-",I122,"-",Input!M122)),points11,2,)),0,VLOOKUP((CONCATENATE("Hi-Stepper-",I122,"-",Input!M122)),points11,2,))</f>
        <v>0</v>
      </c>
      <c r="AB122">
        <f>IF(ISNA(VLOOKUP((CONCATENATE("Chest Push-",I122,"-",Input!N122)),points11,2,)),0,VLOOKUP((CONCATENATE("Chest Push-",I122,"-",Input!N122)),points11,2,))</f>
        <v>0</v>
      </c>
      <c r="AC122">
        <f>IF(ISNA(VLOOKUP((CONCATENATE("Javelin Throw-",I122,"-",Input!O122)),points11,2,)),0,VLOOKUP((CONCATENATE("Javelin Throw-",I122,"-",Input!O122)),points11,2,))</f>
        <v>0</v>
      </c>
      <c r="AD122">
        <f t="shared" si="20"/>
        <v>0</v>
      </c>
      <c r="AE122" t="str">
        <f t="shared" si="21"/>
        <v xml:space="preserve"> </v>
      </c>
      <c r="AF122">
        <f t="shared" si="22"/>
        <v>0</v>
      </c>
    </row>
    <row r="123" spans="2:32" ht="15" thickBot="1" x14ac:dyDescent="0.4">
      <c r="B123" s="631"/>
      <c r="C123" s="520">
        <v>5</v>
      </c>
      <c r="D123" s="289">
        <v>10</v>
      </c>
      <c r="E123" s="387"/>
      <c r="F123" s="362"/>
      <c r="G123" s="388"/>
      <c r="H123" s="388"/>
      <c r="I123" s="388"/>
      <c r="J123" s="393"/>
      <c r="K123" s="388"/>
      <c r="L123" s="388"/>
      <c r="M123" s="388"/>
      <c r="N123" s="388"/>
      <c r="O123" s="503"/>
      <c r="P123" s="509">
        <f t="shared" si="12"/>
        <v>0</v>
      </c>
      <c r="Q123" s="445">
        <f t="shared" si="13"/>
        <v>0</v>
      </c>
      <c r="R123" s="445">
        <f t="shared" si="14"/>
        <v>0</v>
      </c>
      <c r="S123" s="445">
        <f t="shared" si="15"/>
        <v>0</v>
      </c>
      <c r="T123" s="445">
        <f t="shared" si="16"/>
        <v>0</v>
      </c>
      <c r="U123" s="445">
        <f t="shared" si="17"/>
        <v>0</v>
      </c>
      <c r="V123" s="445">
        <f t="shared" si="18"/>
        <v>0</v>
      </c>
      <c r="W123" s="446">
        <f t="shared" si="19"/>
        <v>0</v>
      </c>
      <c r="X123">
        <f>IF(ISNA(VLOOKUP((CONCATENATE("Standing Long Jump-",I123,"-",Input!J123)),points11,2,)),0,VLOOKUP((CONCATENATE("Standing Long Jump-",I123,"-",Input!J123)),points11,2,))</f>
        <v>0</v>
      </c>
      <c r="Y123">
        <f>IF(ISNA(VLOOKUP((CONCATENATE("Speed Bounce-",I123,"-",Input!K123)),points11,2,)),0,VLOOKUP((CONCATENATE("Speed Bounce-",I123,"-",Input!K123)),points11,2,))</f>
        <v>0</v>
      </c>
      <c r="Z123">
        <f>IF(ISNA(VLOOKUP((CONCATENATE("Target Throw-",I123,"-",Input!L123)),points11,2,)),0,VLOOKUP((CONCATENATE("Target Throw-",I123,"-",Input!L123)),points11,2,))</f>
        <v>0</v>
      </c>
      <c r="AA123">
        <f>IF(ISNA(VLOOKUP((CONCATENATE("Hi-Stepper-",I123,"-",Input!M123)),points11,2,)),0,VLOOKUP((CONCATENATE("Hi-Stepper-",I123,"-",Input!M123)),points11,2,))</f>
        <v>0</v>
      </c>
      <c r="AB123">
        <f>IF(ISNA(VLOOKUP((CONCATENATE("Chest Push-",I123,"-",Input!N123)),points11,2,)),0,VLOOKUP((CONCATENATE("Chest Push-",I123,"-",Input!N123)),points11,2,))</f>
        <v>0</v>
      </c>
      <c r="AC123">
        <f>IF(ISNA(VLOOKUP((CONCATENATE("Javelin Throw-",I123,"-",Input!O123)),points11,2,)),0,VLOOKUP((CONCATENATE("Javelin Throw-",I123,"-",Input!O123)),points11,2,))</f>
        <v>0</v>
      </c>
      <c r="AD123">
        <f t="shared" si="20"/>
        <v>0</v>
      </c>
      <c r="AE123" t="str">
        <f t="shared" si="21"/>
        <v xml:space="preserve"> </v>
      </c>
      <c r="AF123">
        <f t="shared" si="22"/>
        <v>0</v>
      </c>
    </row>
    <row r="124" spans="2:32" ht="15" thickBot="1" x14ac:dyDescent="0.4">
      <c r="B124" s="631"/>
      <c r="C124" s="520">
        <v>6</v>
      </c>
      <c r="D124" s="289">
        <v>10</v>
      </c>
      <c r="E124" s="387"/>
      <c r="F124" s="362"/>
      <c r="G124" s="388"/>
      <c r="H124" s="388"/>
      <c r="I124" s="388"/>
      <c r="J124" s="393"/>
      <c r="K124" s="388"/>
      <c r="L124" s="388"/>
      <c r="M124" s="388"/>
      <c r="N124" s="388"/>
      <c r="O124" s="503"/>
      <c r="P124" s="509">
        <f t="shared" si="12"/>
        <v>0</v>
      </c>
      <c r="Q124" s="445">
        <f t="shared" si="13"/>
        <v>0</v>
      </c>
      <c r="R124" s="445">
        <f t="shared" si="14"/>
        <v>0</v>
      </c>
      <c r="S124" s="445">
        <f t="shared" si="15"/>
        <v>0</v>
      </c>
      <c r="T124" s="445">
        <f t="shared" si="16"/>
        <v>0</v>
      </c>
      <c r="U124" s="445">
        <f t="shared" si="17"/>
        <v>0</v>
      </c>
      <c r="V124" s="445">
        <f t="shared" si="18"/>
        <v>0</v>
      </c>
      <c r="W124" s="446">
        <f t="shared" si="19"/>
        <v>0</v>
      </c>
      <c r="X124">
        <f>IF(ISNA(VLOOKUP((CONCATENATE("Standing Long Jump-",I124,"-",Input!J124)),points11,2,)),0,VLOOKUP((CONCATENATE("Standing Long Jump-",I124,"-",Input!J124)),points11,2,))</f>
        <v>0</v>
      </c>
      <c r="Y124">
        <f>IF(ISNA(VLOOKUP((CONCATENATE("Speed Bounce-",I124,"-",Input!K124)),points11,2,)),0,VLOOKUP((CONCATENATE("Speed Bounce-",I124,"-",Input!K124)),points11,2,))</f>
        <v>0</v>
      </c>
      <c r="Z124">
        <f>IF(ISNA(VLOOKUP((CONCATENATE("Target Throw-",I124,"-",Input!L124)),points11,2,)),0,VLOOKUP((CONCATENATE("Target Throw-",I124,"-",Input!L124)),points11,2,))</f>
        <v>0</v>
      </c>
      <c r="AA124">
        <f>IF(ISNA(VLOOKUP((CONCATENATE("Hi-Stepper-",I124,"-",Input!M124)),points11,2,)),0,VLOOKUP((CONCATENATE("Hi-Stepper-",I124,"-",Input!M124)),points11,2,))</f>
        <v>0</v>
      </c>
      <c r="AB124">
        <f>IF(ISNA(VLOOKUP((CONCATENATE("Chest Push-",I124,"-",Input!N124)),points11,2,)),0,VLOOKUP((CONCATENATE("Chest Push-",I124,"-",Input!N124)),points11,2,))</f>
        <v>0</v>
      </c>
      <c r="AC124">
        <f>IF(ISNA(VLOOKUP((CONCATENATE("Javelin Throw-",I124,"-",Input!O124)),points11,2,)),0,VLOOKUP((CONCATENATE("Javelin Throw-",I124,"-",Input!O124)),points11,2,))</f>
        <v>0</v>
      </c>
      <c r="AD124">
        <f t="shared" si="20"/>
        <v>0</v>
      </c>
      <c r="AE124" t="str">
        <f t="shared" si="21"/>
        <v xml:space="preserve"> </v>
      </c>
      <c r="AF124">
        <f t="shared" si="22"/>
        <v>0</v>
      </c>
    </row>
    <row r="125" spans="2:32" ht="15" thickBot="1" x14ac:dyDescent="0.4">
      <c r="B125" s="631"/>
      <c r="C125" s="520">
        <v>7</v>
      </c>
      <c r="D125" s="289">
        <v>10</v>
      </c>
      <c r="E125" s="387"/>
      <c r="F125" s="362"/>
      <c r="G125" s="388"/>
      <c r="H125" s="388"/>
      <c r="I125" s="388"/>
      <c r="J125" s="393"/>
      <c r="K125" s="388"/>
      <c r="L125" s="388"/>
      <c r="M125" s="388"/>
      <c r="N125" s="388"/>
      <c r="O125" s="503"/>
      <c r="P125" s="509">
        <f t="shared" si="12"/>
        <v>0</v>
      </c>
      <c r="Q125" s="445">
        <f t="shared" si="13"/>
        <v>0</v>
      </c>
      <c r="R125" s="445">
        <f t="shared" si="14"/>
        <v>0</v>
      </c>
      <c r="S125" s="445">
        <f t="shared" si="15"/>
        <v>0</v>
      </c>
      <c r="T125" s="445">
        <f t="shared" si="16"/>
        <v>0</v>
      </c>
      <c r="U125" s="445">
        <f t="shared" si="17"/>
        <v>0</v>
      </c>
      <c r="V125" s="445">
        <f t="shared" si="18"/>
        <v>0</v>
      </c>
      <c r="W125" s="446">
        <f t="shared" si="19"/>
        <v>0</v>
      </c>
      <c r="X125">
        <f>IF(ISNA(VLOOKUP((CONCATENATE("Standing Long Jump-",I125,"-",Input!J125)),points11,2,)),0,VLOOKUP((CONCATENATE("Standing Long Jump-",I125,"-",Input!J125)),points11,2,))</f>
        <v>0</v>
      </c>
      <c r="Y125">
        <f>IF(ISNA(VLOOKUP((CONCATENATE("Speed Bounce-",I125,"-",Input!K125)),points11,2,)),0,VLOOKUP((CONCATENATE("Speed Bounce-",I125,"-",Input!K125)),points11,2,))</f>
        <v>0</v>
      </c>
      <c r="Z125">
        <f>IF(ISNA(VLOOKUP((CONCATENATE("Target Throw-",I125,"-",Input!L125)),points11,2,)),0,VLOOKUP((CONCATENATE("Target Throw-",I125,"-",Input!L125)),points11,2,))</f>
        <v>0</v>
      </c>
      <c r="AA125">
        <f>IF(ISNA(VLOOKUP((CONCATENATE("Hi-Stepper-",I125,"-",Input!M125)),points11,2,)),0,VLOOKUP((CONCATENATE("Hi-Stepper-",I125,"-",Input!M125)),points11,2,))</f>
        <v>0</v>
      </c>
      <c r="AB125">
        <f>IF(ISNA(VLOOKUP((CONCATENATE("Chest Push-",I125,"-",Input!N125)),points11,2,)),0,VLOOKUP((CONCATENATE("Chest Push-",I125,"-",Input!N125)),points11,2,))</f>
        <v>0</v>
      </c>
      <c r="AC125">
        <f>IF(ISNA(VLOOKUP((CONCATENATE("Javelin Throw-",I125,"-",Input!O125)),points11,2,)),0,VLOOKUP((CONCATENATE("Javelin Throw-",I125,"-",Input!O125)),points11,2,))</f>
        <v>0</v>
      </c>
      <c r="AD125">
        <f t="shared" si="20"/>
        <v>0</v>
      </c>
      <c r="AE125" t="str">
        <f t="shared" si="21"/>
        <v xml:space="preserve"> </v>
      </c>
      <c r="AF125">
        <f t="shared" si="22"/>
        <v>0</v>
      </c>
    </row>
    <row r="126" spans="2:32" ht="15" thickBot="1" x14ac:dyDescent="0.4">
      <c r="B126" s="631"/>
      <c r="C126" s="520">
        <v>8</v>
      </c>
      <c r="D126" s="289">
        <v>10</v>
      </c>
      <c r="E126" s="387"/>
      <c r="F126" s="362"/>
      <c r="G126" s="388"/>
      <c r="H126" s="388"/>
      <c r="I126" s="388"/>
      <c r="J126" s="393"/>
      <c r="K126" s="388"/>
      <c r="L126" s="388"/>
      <c r="M126" s="388"/>
      <c r="N126" s="388"/>
      <c r="O126" s="503"/>
      <c r="P126" s="509">
        <f t="shared" si="12"/>
        <v>0</v>
      </c>
      <c r="Q126" s="445">
        <f t="shared" si="13"/>
        <v>0</v>
      </c>
      <c r="R126" s="445">
        <f t="shared" si="14"/>
        <v>0</v>
      </c>
      <c r="S126" s="445">
        <f t="shared" si="15"/>
        <v>0</v>
      </c>
      <c r="T126" s="445">
        <f t="shared" si="16"/>
        <v>0</v>
      </c>
      <c r="U126" s="445">
        <f t="shared" si="17"/>
        <v>0</v>
      </c>
      <c r="V126" s="445">
        <f t="shared" si="18"/>
        <v>0</v>
      </c>
      <c r="W126" s="446">
        <f t="shared" si="19"/>
        <v>0</v>
      </c>
      <c r="X126">
        <f>IF(ISNA(VLOOKUP((CONCATENATE("Standing Long Jump-",I126,"-",Input!J126)),points11,2,)),0,VLOOKUP((CONCATENATE("Standing Long Jump-",I126,"-",Input!J126)),points11,2,))</f>
        <v>0</v>
      </c>
      <c r="Y126">
        <f>IF(ISNA(VLOOKUP((CONCATENATE("Speed Bounce-",I126,"-",Input!K126)),points11,2,)),0,VLOOKUP((CONCATENATE("Speed Bounce-",I126,"-",Input!K126)),points11,2,))</f>
        <v>0</v>
      </c>
      <c r="Z126">
        <f>IF(ISNA(VLOOKUP((CONCATENATE("Target Throw-",I126,"-",Input!L126)),points11,2,)),0,VLOOKUP((CONCATENATE("Target Throw-",I126,"-",Input!L126)),points11,2,))</f>
        <v>0</v>
      </c>
      <c r="AA126">
        <f>IF(ISNA(VLOOKUP((CONCATENATE("Hi-Stepper-",I126,"-",Input!M126)),points11,2,)),0,VLOOKUP((CONCATENATE("Hi-Stepper-",I126,"-",Input!M126)),points11,2,))</f>
        <v>0</v>
      </c>
      <c r="AB126">
        <f>IF(ISNA(VLOOKUP((CONCATENATE("Chest Push-",I126,"-",Input!N126)),points11,2,)),0,VLOOKUP((CONCATENATE("Chest Push-",I126,"-",Input!N126)),points11,2,))</f>
        <v>0</v>
      </c>
      <c r="AC126">
        <f>IF(ISNA(VLOOKUP((CONCATENATE("Javelin Throw-",I126,"-",Input!O126)),points11,2,)),0,VLOOKUP((CONCATENATE("Javelin Throw-",I126,"-",Input!O126)),points11,2,))</f>
        <v>0</v>
      </c>
      <c r="AD126">
        <f t="shared" si="20"/>
        <v>0</v>
      </c>
      <c r="AE126" t="str">
        <f t="shared" si="21"/>
        <v xml:space="preserve"> </v>
      </c>
      <c r="AF126">
        <f t="shared" si="22"/>
        <v>0</v>
      </c>
    </row>
    <row r="127" spans="2:32" ht="15" thickBot="1" x14ac:dyDescent="0.4">
      <c r="B127" s="631"/>
      <c r="C127" s="520">
        <v>9</v>
      </c>
      <c r="D127" s="289">
        <v>10</v>
      </c>
      <c r="E127" s="387"/>
      <c r="F127" s="362"/>
      <c r="G127" s="388"/>
      <c r="H127" s="388"/>
      <c r="I127" s="388"/>
      <c r="J127" s="393"/>
      <c r="K127" s="388"/>
      <c r="L127" s="388"/>
      <c r="M127" s="388"/>
      <c r="N127" s="388"/>
      <c r="O127" s="503"/>
      <c r="P127" s="509">
        <f t="shared" si="12"/>
        <v>0</v>
      </c>
      <c r="Q127" s="445">
        <f t="shared" si="13"/>
        <v>0</v>
      </c>
      <c r="R127" s="445">
        <f t="shared" si="14"/>
        <v>0</v>
      </c>
      <c r="S127" s="445">
        <f t="shared" si="15"/>
        <v>0</v>
      </c>
      <c r="T127" s="445">
        <f t="shared" si="16"/>
        <v>0</v>
      </c>
      <c r="U127" s="445">
        <f t="shared" si="17"/>
        <v>0</v>
      </c>
      <c r="V127" s="445">
        <f t="shared" si="18"/>
        <v>0</v>
      </c>
      <c r="W127" s="446">
        <f t="shared" si="19"/>
        <v>0</v>
      </c>
      <c r="X127">
        <f>IF(ISNA(VLOOKUP((CONCATENATE("Standing Long Jump-",I127,"-",Input!J127)),points11,2,)),0,VLOOKUP((CONCATENATE("Standing Long Jump-",I127,"-",Input!J127)),points11,2,))</f>
        <v>0</v>
      </c>
      <c r="Y127">
        <f>IF(ISNA(VLOOKUP((CONCATENATE("Speed Bounce-",I127,"-",Input!K127)),points11,2,)),0,VLOOKUP((CONCATENATE("Speed Bounce-",I127,"-",Input!K127)),points11,2,))</f>
        <v>0</v>
      </c>
      <c r="Z127">
        <f>IF(ISNA(VLOOKUP((CONCATENATE("Target Throw-",I127,"-",Input!L127)),points11,2,)),0,VLOOKUP((CONCATENATE("Target Throw-",I127,"-",Input!L127)),points11,2,))</f>
        <v>0</v>
      </c>
      <c r="AA127">
        <f>IF(ISNA(VLOOKUP((CONCATENATE("Hi-Stepper-",I127,"-",Input!M127)),points11,2,)),0,VLOOKUP((CONCATENATE("Hi-Stepper-",I127,"-",Input!M127)),points11,2,))</f>
        <v>0</v>
      </c>
      <c r="AB127">
        <f>IF(ISNA(VLOOKUP((CONCATENATE("Chest Push-",I127,"-",Input!N127)),points11,2,)),0,VLOOKUP((CONCATENATE("Chest Push-",I127,"-",Input!N127)),points11,2,))</f>
        <v>0</v>
      </c>
      <c r="AC127">
        <f>IF(ISNA(VLOOKUP((CONCATENATE("Javelin Throw-",I127,"-",Input!O127)),points11,2,)),0,VLOOKUP((CONCATENATE("Javelin Throw-",I127,"-",Input!O127)),points11,2,))</f>
        <v>0</v>
      </c>
      <c r="AD127">
        <f t="shared" si="20"/>
        <v>0</v>
      </c>
      <c r="AE127" t="str">
        <f t="shared" si="21"/>
        <v xml:space="preserve"> </v>
      </c>
      <c r="AF127">
        <f t="shared" si="22"/>
        <v>0</v>
      </c>
    </row>
    <row r="128" spans="2:32" ht="15" thickBot="1" x14ac:dyDescent="0.4">
      <c r="B128" s="631"/>
      <c r="C128" s="520">
        <v>10</v>
      </c>
      <c r="D128" s="289">
        <v>10</v>
      </c>
      <c r="E128" s="387"/>
      <c r="F128" s="362"/>
      <c r="G128" s="388"/>
      <c r="H128" s="388"/>
      <c r="I128" s="388"/>
      <c r="J128" s="393"/>
      <c r="K128" s="388"/>
      <c r="L128" s="388"/>
      <c r="M128" s="388"/>
      <c r="N128" s="388"/>
      <c r="O128" s="503"/>
      <c r="P128" s="509">
        <f t="shared" si="12"/>
        <v>0</v>
      </c>
      <c r="Q128" s="445">
        <f t="shared" si="13"/>
        <v>0</v>
      </c>
      <c r="R128" s="445">
        <f t="shared" si="14"/>
        <v>0</v>
      </c>
      <c r="S128" s="445">
        <f t="shared" si="15"/>
        <v>0</v>
      </c>
      <c r="T128" s="445">
        <f t="shared" si="16"/>
        <v>0</v>
      </c>
      <c r="U128" s="445">
        <f t="shared" si="17"/>
        <v>0</v>
      </c>
      <c r="V128" s="445">
        <f t="shared" si="18"/>
        <v>0</v>
      </c>
      <c r="W128" s="446">
        <f t="shared" si="19"/>
        <v>0</v>
      </c>
      <c r="X128">
        <f>IF(ISNA(VLOOKUP((CONCATENATE("Standing Long Jump-",I128,"-",Input!J128)),points11,2,)),0,VLOOKUP((CONCATENATE("Standing Long Jump-",I128,"-",Input!J128)),points11,2,))</f>
        <v>0</v>
      </c>
      <c r="Y128">
        <f>IF(ISNA(VLOOKUP((CONCATENATE("Speed Bounce-",I128,"-",Input!K128)),points11,2,)),0,VLOOKUP((CONCATENATE("Speed Bounce-",I128,"-",Input!K128)),points11,2,))</f>
        <v>0</v>
      </c>
      <c r="Z128">
        <f>IF(ISNA(VLOOKUP((CONCATENATE("Target Throw-",I128,"-",Input!L128)),points11,2,)),0,VLOOKUP((CONCATENATE("Target Throw-",I128,"-",Input!L128)),points11,2,))</f>
        <v>0</v>
      </c>
      <c r="AA128">
        <f>IF(ISNA(VLOOKUP((CONCATENATE("Hi-Stepper-",I128,"-",Input!M128)),points11,2,)),0,VLOOKUP((CONCATENATE("Hi-Stepper-",I128,"-",Input!M128)),points11,2,))</f>
        <v>0</v>
      </c>
      <c r="AB128">
        <f>IF(ISNA(VLOOKUP((CONCATENATE("Chest Push-",I128,"-",Input!N128)),points11,2,)),0,VLOOKUP((CONCATENATE("Chest Push-",I128,"-",Input!N128)),points11,2,))</f>
        <v>0</v>
      </c>
      <c r="AC128">
        <f>IF(ISNA(VLOOKUP((CONCATENATE("Javelin Throw-",I128,"-",Input!O128)),points11,2,)),0,VLOOKUP((CONCATENATE("Javelin Throw-",I128,"-",Input!O128)),points11,2,))</f>
        <v>0</v>
      </c>
      <c r="AD128">
        <f t="shared" si="20"/>
        <v>0</v>
      </c>
      <c r="AE128" t="str">
        <f t="shared" si="21"/>
        <v xml:space="preserve"> </v>
      </c>
      <c r="AF128">
        <f t="shared" si="22"/>
        <v>0</v>
      </c>
    </row>
    <row r="129" spans="2:32" ht="15" thickBot="1" x14ac:dyDescent="0.4">
      <c r="B129" s="631"/>
      <c r="C129" s="520">
        <v>11</v>
      </c>
      <c r="D129" s="289">
        <v>10</v>
      </c>
      <c r="E129" s="387"/>
      <c r="F129" s="362"/>
      <c r="G129" s="388"/>
      <c r="H129" s="388"/>
      <c r="I129" s="388"/>
      <c r="J129" s="393"/>
      <c r="K129" s="388"/>
      <c r="L129" s="388"/>
      <c r="M129" s="388"/>
      <c r="N129" s="388"/>
      <c r="O129" s="503"/>
      <c r="P129" s="509">
        <f t="shared" si="12"/>
        <v>0</v>
      </c>
      <c r="Q129" s="445">
        <f t="shared" si="13"/>
        <v>0</v>
      </c>
      <c r="R129" s="445">
        <f t="shared" si="14"/>
        <v>0</v>
      </c>
      <c r="S129" s="445">
        <f t="shared" si="15"/>
        <v>0</v>
      </c>
      <c r="T129" s="445">
        <f t="shared" si="16"/>
        <v>0</v>
      </c>
      <c r="U129" s="445">
        <f t="shared" si="17"/>
        <v>0</v>
      </c>
      <c r="V129" s="445">
        <f t="shared" si="18"/>
        <v>0</v>
      </c>
      <c r="W129" s="446">
        <f t="shared" si="19"/>
        <v>0</v>
      </c>
      <c r="X129">
        <f>IF(ISNA(VLOOKUP((CONCATENATE("Standing Long Jump-",I129,"-",Input!J129)),points11,2,)),0,VLOOKUP((CONCATENATE("Standing Long Jump-",I129,"-",Input!J129)),points11,2,))</f>
        <v>0</v>
      </c>
      <c r="Y129">
        <f>IF(ISNA(VLOOKUP((CONCATENATE("Speed Bounce-",I129,"-",Input!K129)),points11,2,)),0,VLOOKUP((CONCATENATE("Speed Bounce-",I129,"-",Input!K129)),points11,2,))</f>
        <v>0</v>
      </c>
      <c r="Z129">
        <f>IF(ISNA(VLOOKUP((CONCATENATE("Target Throw-",I129,"-",Input!L129)),points11,2,)),0,VLOOKUP((CONCATENATE("Target Throw-",I129,"-",Input!L129)),points11,2,))</f>
        <v>0</v>
      </c>
      <c r="AA129">
        <f>IF(ISNA(VLOOKUP((CONCATENATE("Hi-Stepper-",I129,"-",Input!M129)),points11,2,)),0,VLOOKUP((CONCATENATE("Hi-Stepper-",I129,"-",Input!M129)),points11,2,))</f>
        <v>0</v>
      </c>
      <c r="AB129">
        <f>IF(ISNA(VLOOKUP((CONCATENATE("Chest Push-",I129,"-",Input!N129)),points11,2,)),0,VLOOKUP((CONCATENATE("Chest Push-",I129,"-",Input!N129)),points11,2,))</f>
        <v>0</v>
      </c>
      <c r="AC129">
        <f>IF(ISNA(VLOOKUP((CONCATENATE("Javelin Throw-",I129,"-",Input!O129)),points11,2,)),0,VLOOKUP((CONCATENATE("Javelin Throw-",I129,"-",Input!O129)),points11,2,))</f>
        <v>0</v>
      </c>
      <c r="AD129">
        <f t="shared" si="20"/>
        <v>0</v>
      </c>
      <c r="AE129" t="str">
        <f t="shared" si="21"/>
        <v xml:space="preserve"> </v>
      </c>
      <c r="AF129">
        <f t="shared" si="22"/>
        <v>0</v>
      </c>
    </row>
    <row r="130" spans="2:32" ht="15" thickBot="1" x14ac:dyDescent="0.4">
      <c r="B130" s="631"/>
      <c r="C130" s="520">
        <v>12</v>
      </c>
      <c r="D130" s="289">
        <v>10</v>
      </c>
      <c r="E130" s="428"/>
      <c r="F130" s="400"/>
      <c r="G130" s="429"/>
      <c r="H130" s="429"/>
      <c r="I130" s="429"/>
      <c r="J130" s="430"/>
      <c r="K130" s="429"/>
      <c r="L130" s="429"/>
      <c r="M130" s="429"/>
      <c r="N130" s="429"/>
      <c r="O130" s="504"/>
      <c r="P130" s="512">
        <f t="shared" si="12"/>
        <v>0</v>
      </c>
      <c r="Q130" s="451">
        <f t="shared" si="13"/>
        <v>0</v>
      </c>
      <c r="R130" s="451">
        <f t="shared" si="14"/>
        <v>0</v>
      </c>
      <c r="S130" s="451">
        <f t="shared" si="15"/>
        <v>0</v>
      </c>
      <c r="T130" s="451">
        <f t="shared" si="16"/>
        <v>0</v>
      </c>
      <c r="U130" s="451">
        <f t="shared" si="17"/>
        <v>0</v>
      </c>
      <c r="V130" s="451">
        <f t="shared" si="18"/>
        <v>0</v>
      </c>
      <c r="W130" s="452">
        <f t="shared" si="19"/>
        <v>0</v>
      </c>
      <c r="X130">
        <f>IF(ISNA(VLOOKUP((CONCATENATE("Standing Long Jump-",I130,"-",Input!J130)),points11,2,)),0,VLOOKUP((CONCATENATE("Standing Long Jump-",I130,"-",Input!J130)),points11,2,))</f>
        <v>0</v>
      </c>
      <c r="Y130">
        <f>IF(ISNA(VLOOKUP((CONCATENATE("Speed Bounce-",I130,"-",Input!K130)),points11,2,)),0,VLOOKUP((CONCATENATE("Speed Bounce-",I130,"-",Input!K130)),points11,2,))</f>
        <v>0</v>
      </c>
      <c r="Z130">
        <f>IF(ISNA(VLOOKUP((CONCATENATE("Target Throw-",I130,"-",Input!L130)),points11,2,)),0,VLOOKUP((CONCATENATE("Target Throw-",I130,"-",Input!L130)),points11,2,))</f>
        <v>0</v>
      </c>
      <c r="AA130">
        <f>IF(ISNA(VLOOKUP((CONCATENATE("Hi-Stepper-",I130,"-",Input!M130)),points11,2,)),0,VLOOKUP((CONCATENATE("Hi-Stepper-",I130,"-",Input!M130)),points11,2,))</f>
        <v>0</v>
      </c>
      <c r="AB130">
        <f>IF(ISNA(VLOOKUP((CONCATENATE("Chest Push-",I130,"-",Input!N130)),points11,2,)),0,VLOOKUP((CONCATENATE("Chest Push-",I130,"-",Input!N130)),points11,2,))</f>
        <v>0</v>
      </c>
      <c r="AC130">
        <f>IF(ISNA(VLOOKUP((CONCATENATE("Javelin Throw-",I130,"-",Input!O130)),points11,2,)),0,VLOOKUP((CONCATENATE("Javelin Throw-",I130,"-",Input!O130)),points11,2,))</f>
        <v>0</v>
      </c>
      <c r="AD130">
        <f t="shared" si="20"/>
        <v>0</v>
      </c>
      <c r="AE130" t="str">
        <f t="shared" si="21"/>
        <v xml:space="preserve"> </v>
      </c>
      <c r="AF130">
        <f t="shared" si="22"/>
        <v>0</v>
      </c>
    </row>
    <row r="131" spans="2:32" ht="15" thickBot="1" x14ac:dyDescent="0.4">
      <c r="B131" s="631" t="str">
        <f>'Competition Menu'!E11</f>
        <v>Team 11</v>
      </c>
      <c r="C131" s="520">
        <v>1</v>
      </c>
      <c r="D131" s="289">
        <v>11</v>
      </c>
      <c r="E131" s="479"/>
      <c r="F131" s="357"/>
      <c r="G131" s="480"/>
      <c r="H131" s="480"/>
      <c r="I131" s="480"/>
      <c r="J131" s="481"/>
      <c r="K131" s="480"/>
      <c r="L131" s="480"/>
      <c r="M131" s="480"/>
      <c r="N131" s="480"/>
      <c r="O131" s="505"/>
      <c r="P131" s="513">
        <f t="shared" ref="P131:P189" si="23">IF(X131=0,0,X131)</f>
        <v>0</v>
      </c>
      <c r="Q131" s="453">
        <f t="shared" ref="Q131:Q189" si="24">IF(Y131=0,0,Y131)</f>
        <v>0</v>
      </c>
      <c r="R131" s="453">
        <f t="shared" ref="R131:R189" si="25">IF(Z131=0,0,Z131)</f>
        <v>0</v>
      </c>
      <c r="S131" s="453">
        <f t="shared" ref="S131:S189" si="26">IF(AA131=0,0,AA131)</f>
        <v>0</v>
      </c>
      <c r="T131" s="453">
        <f t="shared" ref="T131:T189" si="27">IF(AB131=0,0,AB131)</f>
        <v>0</v>
      </c>
      <c r="U131" s="453">
        <f t="shared" ref="U131:U189" si="28">IF(AC131=0,0,AC131)</f>
        <v>0</v>
      </c>
      <c r="V131" s="453">
        <f t="shared" ref="V131:V189" si="29">IF(AD131=0,0,AD131)</f>
        <v>0</v>
      </c>
      <c r="W131" s="454">
        <f t="shared" ref="W131:W189" si="30">IF(AF131=0,0,AF131)</f>
        <v>0</v>
      </c>
      <c r="X131">
        <f>IF(ISNA(VLOOKUP((CONCATENATE("Standing Long Jump-",I131,"-",Input!J131)),points11,2,)),0,VLOOKUP((CONCATENATE("Standing Long Jump-",I131,"-",Input!J131)),points11,2,))</f>
        <v>0</v>
      </c>
      <c r="Y131">
        <f>IF(ISNA(VLOOKUP((CONCATENATE("Speed Bounce-",I131,"-",Input!K131)),points11,2,)),0,VLOOKUP((CONCATENATE("Speed Bounce-",I131,"-",Input!K131)),points11,2,))</f>
        <v>0</v>
      </c>
      <c r="Z131">
        <f>IF(ISNA(VLOOKUP((CONCATENATE("Target Throw-",I131,"-",Input!L131)),points11,2,)),0,VLOOKUP((CONCATENATE("Target Throw-",I131,"-",Input!L131)),points11,2,))</f>
        <v>0</v>
      </c>
      <c r="AA131">
        <f>IF(ISNA(VLOOKUP((CONCATENATE("Hi-Stepper-",I131,"-",Input!M131)),points11,2,)),0,VLOOKUP((CONCATENATE("Hi-Stepper-",I131,"-",Input!M131)),points11,2,))</f>
        <v>0</v>
      </c>
      <c r="AB131">
        <f>IF(ISNA(VLOOKUP((CONCATENATE("Chest Push-",I131,"-",Input!N131)),points11,2,)),0,VLOOKUP((CONCATENATE("Chest Push-",I131,"-",Input!N131)),points11,2,))</f>
        <v>0</v>
      </c>
      <c r="AC131">
        <f>IF(ISNA(VLOOKUP((CONCATENATE("Javelin Throw-",I131,"-",Input!O131)),points11,2,)),0,VLOOKUP((CONCATENATE("Javelin Throw-",I131,"-",Input!O131)),points11,2,))</f>
        <v>0</v>
      </c>
      <c r="AD131">
        <f t="shared" ref="AD131:AD189" si="31">IF(I131&lt;3,SUM(Y131:AC131),IF(I131&gt;2,LARGE(X131:AC131,1)+LARGE(X131:AC131,2)+LARGE(X131:AC131,3)+LARGE(X131:AC131,4)+LARGE(X131:AC131,5)," "))</f>
        <v>0</v>
      </c>
      <c r="AE131" t="str">
        <f t="shared" ref="AE131:AE189" si="32">IF(F131=0," ",IF(F131&lt;7,"P",IF(F131&gt;6,"S"," ")))</f>
        <v xml:space="preserve"> </v>
      </c>
      <c r="AF131">
        <f t="shared" si="22"/>
        <v>0</v>
      </c>
    </row>
    <row r="132" spans="2:32" ht="15" thickBot="1" x14ac:dyDescent="0.4">
      <c r="B132" s="631"/>
      <c r="C132" s="520">
        <v>2</v>
      </c>
      <c r="D132" s="289">
        <v>11</v>
      </c>
      <c r="E132" s="387"/>
      <c r="F132" s="362"/>
      <c r="G132" s="388"/>
      <c r="H132" s="388"/>
      <c r="I132" s="388"/>
      <c r="J132" s="393"/>
      <c r="K132" s="388"/>
      <c r="L132" s="388"/>
      <c r="M132" s="388"/>
      <c r="N132" s="388"/>
      <c r="O132" s="503"/>
      <c r="P132" s="509">
        <f t="shared" si="23"/>
        <v>0</v>
      </c>
      <c r="Q132" s="445">
        <f t="shared" si="24"/>
        <v>0</v>
      </c>
      <c r="R132" s="445">
        <f t="shared" si="25"/>
        <v>0</v>
      </c>
      <c r="S132" s="445">
        <f t="shared" si="26"/>
        <v>0</v>
      </c>
      <c r="T132" s="445">
        <f t="shared" si="27"/>
        <v>0</v>
      </c>
      <c r="U132" s="445">
        <f t="shared" si="28"/>
        <v>0</v>
      </c>
      <c r="V132" s="445">
        <f t="shared" si="29"/>
        <v>0</v>
      </c>
      <c r="W132" s="446">
        <f t="shared" si="30"/>
        <v>0</v>
      </c>
      <c r="X132">
        <f>IF(ISNA(VLOOKUP((CONCATENATE("Standing Long Jump-",I132,"-",Input!J132)),points11,2,)),0,VLOOKUP((CONCATENATE("Standing Long Jump-",I132,"-",Input!J132)),points11,2,))</f>
        <v>0</v>
      </c>
      <c r="Y132">
        <f>IF(ISNA(VLOOKUP((CONCATENATE("Speed Bounce-",I132,"-",Input!K132)),points11,2,)),0,VLOOKUP((CONCATENATE("Speed Bounce-",I132,"-",Input!K132)),points11,2,))</f>
        <v>0</v>
      </c>
      <c r="Z132">
        <f>IF(ISNA(VLOOKUP((CONCATENATE("Target Throw-",I132,"-",Input!L132)),points11,2,)),0,VLOOKUP((CONCATENATE("Target Throw-",I132,"-",Input!L132)),points11,2,))</f>
        <v>0</v>
      </c>
      <c r="AA132">
        <f>IF(ISNA(VLOOKUP((CONCATENATE("Hi-Stepper-",I132,"-",Input!M132)),points11,2,)),0,VLOOKUP((CONCATENATE("Hi-Stepper-",I132,"-",Input!M132)),points11,2,))</f>
        <v>0</v>
      </c>
      <c r="AB132">
        <f>IF(ISNA(VLOOKUP((CONCATENATE("Chest Push-",I132,"-",Input!N132)),points11,2,)),0,VLOOKUP((CONCATENATE("Chest Push-",I132,"-",Input!N132)),points11,2,))</f>
        <v>0</v>
      </c>
      <c r="AC132">
        <f>IF(ISNA(VLOOKUP((CONCATENATE("Javelin Throw-",I132,"-",Input!O132)),points11,2,)),0,VLOOKUP((CONCATENATE("Javelin Throw-",I132,"-",Input!O132)),points11,2,))</f>
        <v>0</v>
      </c>
      <c r="AD132">
        <f t="shared" si="31"/>
        <v>0</v>
      </c>
      <c r="AE132" t="str">
        <f t="shared" si="32"/>
        <v xml:space="preserve"> </v>
      </c>
      <c r="AF132">
        <f t="shared" si="22"/>
        <v>0</v>
      </c>
    </row>
    <row r="133" spans="2:32" ht="15" thickBot="1" x14ac:dyDescent="0.4">
      <c r="B133" s="631"/>
      <c r="C133" s="520">
        <v>3</v>
      </c>
      <c r="D133" s="289">
        <v>11</v>
      </c>
      <c r="E133" s="387"/>
      <c r="F133" s="362"/>
      <c r="G133" s="388"/>
      <c r="H133" s="388"/>
      <c r="I133" s="388"/>
      <c r="J133" s="393"/>
      <c r="K133" s="388"/>
      <c r="L133" s="388"/>
      <c r="M133" s="388"/>
      <c r="N133" s="388"/>
      <c r="O133" s="503"/>
      <c r="P133" s="509">
        <f t="shared" si="23"/>
        <v>0</v>
      </c>
      <c r="Q133" s="445">
        <f t="shared" si="24"/>
        <v>0</v>
      </c>
      <c r="R133" s="445">
        <f t="shared" si="25"/>
        <v>0</v>
      </c>
      <c r="S133" s="445">
        <f t="shared" si="26"/>
        <v>0</v>
      </c>
      <c r="T133" s="445">
        <f t="shared" si="27"/>
        <v>0</v>
      </c>
      <c r="U133" s="445">
        <f t="shared" si="28"/>
        <v>0</v>
      </c>
      <c r="V133" s="445">
        <f t="shared" si="29"/>
        <v>0</v>
      </c>
      <c r="W133" s="446">
        <f t="shared" si="30"/>
        <v>0</v>
      </c>
      <c r="X133">
        <f>IF(ISNA(VLOOKUP((CONCATENATE("Standing Long Jump-",I133,"-",Input!J133)),points11,2,)),0,VLOOKUP((CONCATENATE("Standing Long Jump-",I133,"-",Input!J133)),points11,2,))</f>
        <v>0</v>
      </c>
      <c r="Y133">
        <f>IF(ISNA(VLOOKUP((CONCATENATE("Speed Bounce-",I133,"-",Input!K133)),points11,2,)),0,VLOOKUP((CONCATENATE("Speed Bounce-",I133,"-",Input!K133)),points11,2,))</f>
        <v>0</v>
      </c>
      <c r="Z133">
        <f>IF(ISNA(VLOOKUP((CONCATENATE("Target Throw-",I133,"-",Input!L133)),points11,2,)),0,VLOOKUP((CONCATENATE("Target Throw-",I133,"-",Input!L133)),points11,2,))</f>
        <v>0</v>
      </c>
      <c r="AA133">
        <f>IF(ISNA(VLOOKUP((CONCATENATE("Hi-Stepper-",I133,"-",Input!M133)),points11,2,)),0,VLOOKUP((CONCATENATE("Hi-Stepper-",I133,"-",Input!M133)),points11,2,))</f>
        <v>0</v>
      </c>
      <c r="AB133">
        <f>IF(ISNA(VLOOKUP((CONCATENATE("Chest Push-",I133,"-",Input!N133)),points11,2,)),0,VLOOKUP((CONCATENATE("Chest Push-",I133,"-",Input!N133)),points11,2,))</f>
        <v>0</v>
      </c>
      <c r="AC133">
        <f>IF(ISNA(VLOOKUP((CONCATENATE("Javelin Throw-",I133,"-",Input!O133)),points11,2,)),0,VLOOKUP((CONCATENATE("Javelin Throw-",I133,"-",Input!O133)),points11,2,))</f>
        <v>0</v>
      </c>
      <c r="AD133">
        <f t="shared" si="31"/>
        <v>0</v>
      </c>
      <c r="AE133" t="str">
        <f t="shared" si="32"/>
        <v xml:space="preserve"> </v>
      </c>
      <c r="AF133">
        <f t="shared" si="22"/>
        <v>0</v>
      </c>
    </row>
    <row r="134" spans="2:32" ht="15" thickBot="1" x14ac:dyDescent="0.4">
      <c r="B134" s="631"/>
      <c r="C134" s="520">
        <v>4</v>
      </c>
      <c r="D134" s="289">
        <v>11</v>
      </c>
      <c r="E134" s="387"/>
      <c r="F134" s="362"/>
      <c r="G134" s="388"/>
      <c r="H134" s="388"/>
      <c r="I134" s="388"/>
      <c r="J134" s="393"/>
      <c r="K134" s="388"/>
      <c r="L134" s="388"/>
      <c r="M134" s="388"/>
      <c r="N134" s="388"/>
      <c r="O134" s="503"/>
      <c r="P134" s="509">
        <f t="shared" si="23"/>
        <v>0</v>
      </c>
      <c r="Q134" s="445">
        <f t="shared" si="24"/>
        <v>0</v>
      </c>
      <c r="R134" s="445">
        <f t="shared" si="25"/>
        <v>0</v>
      </c>
      <c r="S134" s="445">
        <f t="shared" si="26"/>
        <v>0</v>
      </c>
      <c r="T134" s="445">
        <f t="shared" si="27"/>
        <v>0</v>
      </c>
      <c r="U134" s="445">
        <f t="shared" si="28"/>
        <v>0</v>
      </c>
      <c r="V134" s="445">
        <f t="shared" si="29"/>
        <v>0</v>
      </c>
      <c r="W134" s="446">
        <f t="shared" si="30"/>
        <v>0</v>
      </c>
      <c r="X134">
        <f>IF(ISNA(VLOOKUP((CONCATENATE("Standing Long Jump-",I134,"-",Input!J134)),points11,2,)),0,VLOOKUP((CONCATENATE("Standing Long Jump-",I134,"-",Input!J134)),points11,2,))</f>
        <v>0</v>
      </c>
      <c r="Y134">
        <f>IF(ISNA(VLOOKUP((CONCATENATE("Speed Bounce-",I134,"-",Input!K134)),points11,2,)),0,VLOOKUP((CONCATENATE("Speed Bounce-",I134,"-",Input!K134)),points11,2,))</f>
        <v>0</v>
      </c>
      <c r="Z134">
        <f>IF(ISNA(VLOOKUP((CONCATENATE("Target Throw-",I134,"-",Input!L134)),points11,2,)),0,VLOOKUP((CONCATENATE("Target Throw-",I134,"-",Input!L134)),points11,2,))</f>
        <v>0</v>
      </c>
      <c r="AA134">
        <f>IF(ISNA(VLOOKUP((CONCATENATE("Hi-Stepper-",I134,"-",Input!M134)),points11,2,)),0,VLOOKUP((CONCATENATE("Hi-Stepper-",I134,"-",Input!M134)),points11,2,))</f>
        <v>0</v>
      </c>
      <c r="AB134">
        <f>IF(ISNA(VLOOKUP((CONCATENATE("Chest Push-",I134,"-",Input!N134)),points11,2,)),0,VLOOKUP((CONCATENATE("Chest Push-",I134,"-",Input!N134)),points11,2,))</f>
        <v>0</v>
      </c>
      <c r="AC134">
        <f>IF(ISNA(VLOOKUP((CONCATENATE("Javelin Throw-",I134,"-",Input!O134)),points11,2,)),0,VLOOKUP((CONCATENATE("Javelin Throw-",I134,"-",Input!O134)),points11,2,))</f>
        <v>0</v>
      </c>
      <c r="AD134">
        <f t="shared" si="31"/>
        <v>0</v>
      </c>
      <c r="AE134" t="str">
        <f t="shared" si="32"/>
        <v xml:space="preserve"> </v>
      </c>
      <c r="AF134">
        <f t="shared" si="22"/>
        <v>0</v>
      </c>
    </row>
    <row r="135" spans="2:32" ht="15" thickBot="1" x14ac:dyDescent="0.4">
      <c r="B135" s="631"/>
      <c r="C135" s="520">
        <v>5</v>
      </c>
      <c r="D135" s="289">
        <v>11</v>
      </c>
      <c r="E135" s="387"/>
      <c r="F135" s="362"/>
      <c r="G135" s="388"/>
      <c r="H135" s="388"/>
      <c r="I135" s="388"/>
      <c r="J135" s="393"/>
      <c r="K135" s="388"/>
      <c r="L135" s="388"/>
      <c r="M135" s="388"/>
      <c r="N135" s="388"/>
      <c r="O135" s="503"/>
      <c r="P135" s="509">
        <f t="shared" si="23"/>
        <v>0</v>
      </c>
      <c r="Q135" s="445">
        <f t="shared" si="24"/>
        <v>0</v>
      </c>
      <c r="R135" s="445">
        <f t="shared" si="25"/>
        <v>0</v>
      </c>
      <c r="S135" s="445">
        <f t="shared" si="26"/>
        <v>0</v>
      </c>
      <c r="T135" s="445">
        <f t="shared" si="27"/>
        <v>0</v>
      </c>
      <c r="U135" s="445">
        <f t="shared" si="28"/>
        <v>0</v>
      </c>
      <c r="V135" s="445">
        <f t="shared" si="29"/>
        <v>0</v>
      </c>
      <c r="W135" s="446">
        <f t="shared" si="30"/>
        <v>0</v>
      </c>
      <c r="X135">
        <f>IF(ISNA(VLOOKUP((CONCATENATE("Standing Long Jump-",I135,"-",Input!J135)),points11,2,)),0,VLOOKUP((CONCATENATE("Standing Long Jump-",I135,"-",Input!J135)),points11,2,))</f>
        <v>0</v>
      </c>
      <c r="Y135">
        <f>IF(ISNA(VLOOKUP((CONCATENATE("Speed Bounce-",I135,"-",Input!K135)),points11,2,)),0,VLOOKUP((CONCATENATE("Speed Bounce-",I135,"-",Input!K135)),points11,2,))</f>
        <v>0</v>
      </c>
      <c r="Z135">
        <f>IF(ISNA(VLOOKUP((CONCATENATE("Target Throw-",I135,"-",Input!L135)),points11,2,)),0,VLOOKUP((CONCATENATE("Target Throw-",I135,"-",Input!L135)),points11,2,))</f>
        <v>0</v>
      </c>
      <c r="AA135">
        <f>IF(ISNA(VLOOKUP((CONCATENATE("Hi-Stepper-",I135,"-",Input!M135)),points11,2,)),0,VLOOKUP((CONCATENATE("Hi-Stepper-",I135,"-",Input!M135)),points11,2,))</f>
        <v>0</v>
      </c>
      <c r="AB135">
        <f>IF(ISNA(VLOOKUP((CONCATENATE("Chest Push-",I135,"-",Input!N135)),points11,2,)),0,VLOOKUP((CONCATENATE("Chest Push-",I135,"-",Input!N135)),points11,2,))</f>
        <v>0</v>
      </c>
      <c r="AC135">
        <f>IF(ISNA(VLOOKUP((CONCATENATE("Javelin Throw-",I135,"-",Input!O135)),points11,2,)),0,VLOOKUP((CONCATENATE("Javelin Throw-",I135,"-",Input!O135)),points11,2,))</f>
        <v>0</v>
      </c>
      <c r="AD135">
        <f t="shared" si="31"/>
        <v>0</v>
      </c>
      <c r="AE135" t="str">
        <f t="shared" si="32"/>
        <v xml:space="preserve"> </v>
      </c>
      <c r="AF135">
        <f t="shared" si="22"/>
        <v>0</v>
      </c>
    </row>
    <row r="136" spans="2:32" ht="15" thickBot="1" x14ac:dyDescent="0.4">
      <c r="B136" s="631"/>
      <c r="C136" s="520">
        <v>6</v>
      </c>
      <c r="D136" s="289">
        <v>11</v>
      </c>
      <c r="E136" s="387"/>
      <c r="F136" s="362"/>
      <c r="G136" s="388"/>
      <c r="H136" s="388"/>
      <c r="I136" s="388"/>
      <c r="J136" s="393"/>
      <c r="K136" s="388"/>
      <c r="L136" s="388"/>
      <c r="M136" s="388"/>
      <c r="N136" s="388"/>
      <c r="O136" s="503"/>
      <c r="P136" s="509">
        <f t="shared" si="23"/>
        <v>0</v>
      </c>
      <c r="Q136" s="445">
        <f t="shared" si="24"/>
        <v>0</v>
      </c>
      <c r="R136" s="445">
        <f t="shared" si="25"/>
        <v>0</v>
      </c>
      <c r="S136" s="445">
        <f t="shared" si="26"/>
        <v>0</v>
      </c>
      <c r="T136" s="445">
        <f t="shared" si="27"/>
        <v>0</v>
      </c>
      <c r="U136" s="445">
        <f t="shared" si="28"/>
        <v>0</v>
      </c>
      <c r="V136" s="445">
        <f t="shared" si="29"/>
        <v>0</v>
      </c>
      <c r="W136" s="446">
        <f t="shared" si="30"/>
        <v>0</v>
      </c>
      <c r="X136">
        <f>IF(ISNA(VLOOKUP((CONCATENATE("Standing Long Jump-",I136,"-",Input!J136)),points11,2,)),0,VLOOKUP((CONCATENATE("Standing Long Jump-",I136,"-",Input!J136)),points11,2,))</f>
        <v>0</v>
      </c>
      <c r="Y136">
        <f>IF(ISNA(VLOOKUP((CONCATENATE("Speed Bounce-",I136,"-",Input!K136)),points11,2,)),0,VLOOKUP((CONCATENATE("Speed Bounce-",I136,"-",Input!K136)),points11,2,))</f>
        <v>0</v>
      </c>
      <c r="Z136">
        <f>IF(ISNA(VLOOKUP((CONCATENATE("Target Throw-",I136,"-",Input!L136)),points11,2,)),0,VLOOKUP((CONCATENATE("Target Throw-",I136,"-",Input!L136)),points11,2,))</f>
        <v>0</v>
      </c>
      <c r="AA136">
        <f>IF(ISNA(VLOOKUP((CONCATENATE("Hi-Stepper-",I136,"-",Input!M136)),points11,2,)),0,VLOOKUP((CONCATENATE("Hi-Stepper-",I136,"-",Input!M136)),points11,2,))</f>
        <v>0</v>
      </c>
      <c r="AB136">
        <f>IF(ISNA(VLOOKUP((CONCATENATE("Chest Push-",I136,"-",Input!N136)),points11,2,)),0,VLOOKUP((CONCATENATE("Chest Push-",I136,"-",Input!N136)),points11,2,))</f>
        <v>0</v>
      </c>
      <c r="AC136">
        <f>IF(ISNA(VLOOKUP((CONCATENATE("Javelin Throw-",I136,"-",Input!O136)),points11,2,)),0,VLOOKUP((CONCATENATE("Javelin Throw-",I136,"-",Input!O136)),points11,2,))</f>
        <v>0</v>
      </c>
      <c r="AD136">
        <f t="shared" si="31"/>
        <v>0</v>
      </c>
      <c r="AE136" t="str">
        <f t="shared" si="32"/>
        <v xml:space="preserve"> </v>
      </c>
      <c r="AF136">
        <f t="shared" si="22"/>
        <v>0</v>
      </c>
    </row>
    <row r="137" spans="2:32" ht="15" thickBot="1" x14ac:dyDescent="0.4">
      <c r="B137" s="631"/>
      <c r="C137" s="520">
        <v>7</v>
      </c>
      <c r="D137" s="289">
        <v>11</v>
      </c>
      <c r="E137" s="387"/>
      <c r="F137" s="362"/>
      <c r="G137" s="388"/>
      <c r="H137" s="388"/>
      <c r="I137" s="388"/>
      <c r="J137" s="393"/>
      <c r="K137" s="388"/>
      <c r="L137" s="388"/>
      <c r="M137" s="388"/>
      <c r="N137" s="388"/>
      <c r="O137" s="503"/>
      <c r="P137" s="509">
        <f t="shared" si="23"/>
        <v>0</v>
      </c>
      <c r="Q137" s="445">
        <f t="shared" si="24"/>
        <v>0</v>
      </c>
      <c r="R137" s="445">
        <f t="shared" si="25"/>
        <v>0</v>
      </c>
      <c r="S137" s="445">
        <f t="shared" si="26"/>
        <v>0</v>
      </c>
      <c r="T137" s="445">
        <f t="shared" si="27"/>
        <v>0</v>
      </c>
      <c r="U137" s="445">
        <f t="shared" si="28"/>
        <v>0</v>
      </c>
      <c r="V137" s="445">
        <f t="shared" si="29"/>
        <v>0</v>
      </c>
      <c r="W137" s="446">
        <f t="shared" si="30"/>
        <v>0</v>
      </c>
      <c r="X137">
        <f>IF(ISNA(VLOOKUP((CONCATENATE("Standing Long Jump-",I137,"-",Input!J137)),points11,2,)),0,VLOOKUP((CONCATENATE("Standing Long Jump-",I137,"-",Input!J137)),points11,2,))</f>
        <v>0</v>
      </c>
      <c r="Y137">
        <f>IF(ISNA(VLOOKUP((CONCATENATE("Speed Bounce-",I137,"-",Input!K137)),points11,2,)),0,VLOOKUP((CONCATENATE("Speed Bounce-",I137,"-",Input!K137)),points11,2,))</f>
        <v>0</v>
      </c>
      <c r="Z137">
        <f>IF(ISNA(VLOOKUP((CONCATENATE("Target Throw-",I137,"-",Input!L137)),points11,2,)),0,VLOOKUP((CONCATENATE("Target Throw-",I137,"-",Input!L137)),points11,2,))</f>
        <v>0</v>
      </c>
      <c r="AA137">
        <f>IF(ISNA(VLOOKUP((CONCATENATE("Hi-Stepper-",I137,"-",Input!M137)),points11,2,)),0,VLOOKUP((CONCATENATE("Hi-Stepper-",I137,"-",Input!M137)),points11,2,))</f>
        <v>0</v>
      </c>
      <c r="AB137">
        <f>IF(ISNA(VLOOKUP((CONCATENATE("Chest Push-",I137,"-",Input!N137)),points11,2,)),0,VLOOKUP((CONCATENATE("Chest Push-",I137,"-",Input!N137)),points11,2,))</f>
        <v>0</v>
      </c>
      <c r="AC137">
        <f>IF(ISNA(VLOOKUP((CONCATENATE("Javelin Throw-",I137,"-",Input!O137)),points11,2,)),0,VLOOKUP((CONCATENATE("Javelin Throw-",I137,"-",Input!O137)),points11,2,))</f>
        <v>0</v>
      </c>
      <c r="AD137">
        <f t="shared" si="31"/>
        <v>0</v>
      </c>
      <c r="AE137" t="str">
        <f t="shared" si="32"/>
        <v xml:space="preserve"> </v>
      </c>
      <c r="AF137">
        <f t="shared" si="22"/>
        <v>0</v>
      </c>
    </row>
    <row r="138" spans="2:32" ht="15" thickBot="1" x14ac:dyDescent="0.4">
      <c r="B138" s="631"/>
      <c r="C138" s="520">
        <v>8</v>
      </c>
      <c r="D138" s="289">
        <v>11</v>
      </c>
      <c r="E138" s="387"/>
      <c r="F138" s="362"/>
      <c r="G138" s="388"/>
      <c r="H138" s="388"/>
      <c r="I138" s="388"/>
      <c r="J138" s="393"/>
      <c r="K138" s="388"/>
      <c r="L138" s="388"/>
      <c r="M138" s="388"/>
      <c r="N138" s="388"/>
      <c r="O138" s="503"/>
      <c r="P138" s="509">
        <f t="shared" si="23"/>
        <v>0</v>
      </c>
      <c r="Q138" s="445">
        <f t="shared" si="24"/>
        <v>0</v>
      </c>
      <c r="R138" s="445">
        <f t="shared" si="25"/>
        <v>0</v>
      </c>
      <c r="S138" s="445">
        <f t="shared" si="26"/>
        <v>0</v>
      </c>
      <c r="T138" s="445">
        <f t="shared" si="27"/>
        <v>0</v>
      </c>
      <c r="U138" s="445">
        <f t="shared" si="28"/>
        <v>0</v>
      </c>
      <c r="V138" s="445">
        <f t="shared" si="29"/>
        <v>0</v>
      </c>
      <c r="W138" s="446">
        <f t="shared" si="30"/>
        <v>0</v>
      </c>
      <c r="X138">
        <f>IF(ISNA(VLOOKUP((CONCATENATE("Standing Long Jump-",I138,"-",Input!J138)),points11,2,)),0,VLOOKUP((CONCATENATE("Standing Long Jump-",I138,"-",Input!J138)),points11,2,))</f>
        <v>0</v>
      </c>
      <c r="Y138">
        <f>IF(ISNA(VLOOKUP((CONCATENATE("Speed Bounce-",I138,"-",Input!K138)),points11,2,)),0,VLOOKUP((CONCATENATE("Speed Bounce-",I138,"-",Input!K138)),points11,2,))</f>
        <v>0</v>
      </c>
      <c r="Z138">
        <f>IF(ISNA(VLOOKUP((CONCATENATE("Target Throw-",I138,"-",Input!L138)),points11,2,)),0,VLOOKUP((CONCATENATE("Target Throw-",I138,"-",Input!L138)),points11,2,))</f>
        <v>0</v>
      </c>
      <c r="AA138">
        <f>IF(ISNA(VLOOKUP((CONCATENATE("Hi-Stepper-",I138,"-",Input!M138)),points11,2,)),0,VLOOKUP((CONCATENATE("Hi-Stepper-",I138,"-",Input!M138)),points11,2,))</f>
        <v>0</v>
      </c>
      <c r="AB138">
        <f>IF(ISNA(VLOOKUP((CONCATENATE("Chest Push-",I138,"-",Input!N138)),points11,2,)),0,VLOOKUP((CONCATENATE("Chest Push-",I138,"-",Input!N138)),points11,2,))</f>
        <v>0</v>
      </c>
      <c r="AC138">
        <f>IF(ISNA(VLOOKUP((CONCATENATE("Javelin Throw-",I138,"-",Input!O138)),points11,2,)),0,VLOOKUP((CONCATENATE("Javelin Throw-",I138,"-",Input!O138)),points11,2,))</f>
        <v>0</v>
      </c>
      <c r="AD138">
        <f t="shared" si="31"/>
        <v>0</v>
      </c>
      <c r="AE138" t="str">
        <f t="shared" si="32"/>
        <v xml:space="preserve"> </v>
      </c>
      <c r="AF138">
        <f t="shared" si="22"/>
        <v>0</v>
      </c>
    </row>
    <row r="139" spans="2:32" ht="15" thickBot="1" x14ac:dyDescent="0.4">
      <c r="B139" s="631"/>
      <c r="C139" s="520">
        <v>9</v>
      </c>
      <c r="D139" s="289">
        <v>11</v>
      </c>
      <c r="E139" s="387"/>
      <c r="F139" s="362"/>
      <c r="G139" s="388"/>
      <c r="H139" s="388"/>
      <c r="I139" s="388"/>
      <c r="J139" s="393"/>
      <c r="K139" s="388"/>
      <c r="L139" s="388"/>
      <c r="M139" s="388"/>
      <c r="N139" s="388"/>
      <c r="O139" s="503"/>
      <c r="P139" s="509">
        <f t="shared" si="23"/>
        <v>0</v>
      </c>
      <c r="Q139" s="445">
        <f t="shared" si="24"/>
        <v>0</v>
      </c>
      <c r="R139" s="445">
        <f t="shared" si="25"/>
        <v>0</v>
      </c>
      <c r="S139" s="445">
        <f t="shared" si="26"/>
        <v>0</v>
      </c>
      <c r="T139" s="445">
        <f t="shared" si="27"/>
        <v>0</v>
      </c>
      <c r="U139" s="445">
        <f t="shared" si="28"/>
        <v>0</v>
      </c>
      <c r="V139" s="445">
        <f t="shared" si="29"/>
        <v>0</v>
      </c>
      <c r="W139" s="446">
        <f t="shared" si="30"/>
        <v>0</v>
      </c>
      <c r="X139">
        <f>IF(ISNA(VLOOKUP((CONCATENATE("Standing Long Jump-",I139,"-",Input!J139)),points11,2,)),0,VLOOKUP((CONCATENATE("Standing Long Jump-",I139,"-",Input!J139)),points11,2,))</f>
        <v>0</v>
      </c>
      <c r="Y139">
        <f>IF(ISNA(VLOOKUP((CONCATENATE("Speed Bounce-",I139,"-",Input!K139)),points11,2,)),0,VLOOKUP((CONCATENATE("Speed Bounce-",I139,"-",Input!K139)),points11,2,))</f>
        <v>0</v>
      </c>
      <c r="Z139">
        <f>IF(ISNA(VLOOKUP((CONCATENATE("Target Throw-",I139,"-",Input!L139)),points11,2,)),0,VLOOKUP((CONCATENATE("Target Throw-",I139,"-",Input!L139)),points11,2,))</f>
        <v>0</v>
      </c>
      <c r="AA139">
        <f>IF(ISNA(VLOOKUP((CONCATENATE("Hi-Stepper-",I139,"-",Input!M139)),points11,2,)),0,VLOOKUP((CONCATENATE("Hi-Stepper-",I139,"-",Input!M139)),points11,2,))</f>
        <v>0</v>
      </c>
      <c r="AB139">
        <f>IF(ISNA(VLOOKUP((CONCATENATE("Chest Push-",I139,"-",Input!N139)),points11,2,)),0,VLOOKUP((CONCATENATE("Chest Push-",I139,"-",Input!N139)),points11,2,))</f>
        <v>0</v>
      </c>
      <c r="AC139">
        <f>IF(ISNA(VLOOKUP((CONCATENATE("Javelin Throw-",I139,"-",Input!O139)),points11,2,)),0,VLOOKUP((CONCATENATE("Javelin Throw-",I139,"-",Input!O139)),points11,2,))</f>
        <v>0</v>
      </c>
      <c r="AD139">
        <f t="shared" si="31"/>
        <v>0</v>
      </c>
      <c r="AE139" t="str">
        <f t="shared" si="32"/>
        <v xml:space="preserve"> </v>
      </c>
      <c r="AF139">
        <f t="shared" ref="AF139:AF202" si="33">IF(ISNA(VLOOKUP((CONCATENATE(AE139,"-",H139,"-",AD139)),award11,2,)),0,VLOOKUP((CONCATENATE(AE139,"-",H139,"-",AD139)),award11,2,))</f>
        <v>0</v>
      </c>
    </row>
    <row r="140" spans="2:32" ht="15" thickBot="1" x14ac:dyDescent="0.4">
      <c r="B140" s="631"/>
      <c r="C140" s="520">
        <v>10</v>
      </c>
      <c r="D140" s="289">
        <v>11</v>
      </c>
      <c r="E140" s="387"/>
      <c r="F140" s="362"/>
      <c r="G140" s="388"/>
      <c r="H140" s="388"/>
      <c r="I140" s="388"/>
      <c r="J140" s="393"/>
      <c r="K140" s="388"/>
      <c r="L140" s="388"/>
      <c r="M140" s="388"/>
      <c r="N140" s="388"/>
      <c r="O140" s="503"/>
      <c r="P140" s="509">
        <f t="shared" si="23"/>
        <v>0</v>
      </c>
      <c r="Q140" s="445">
        <f t="shared" si="24"/>
        <v>0</v>
      </c>
      <c r="R140" s="445">
        <f t="shared" si="25"/>
        <v>0</v>
      </c>
      <c r="S140" s="445">
        <f t="shared" si="26"/>
        <v>0</v>
      </c>
      <c r="T140" s="445">
        <f t="shared" si="27"/>
        <v>0</v>
      </c>
      <c r="U140" s="445">
        <f t="shared" si="28"/>
        <v>0</v>
      </c>
      <c r="V140" s="445">
        <f t="shared" si="29"/>
        <v>0</v>
      </c>
      <c r="W140" s="446">
        <f t="shared" si="30"/>
        <v>0</v>
      </c>
      <c r="X140">
        <f>IF(ISNA(VLOOKUP((CONCATENATE("Standing Long Jump-",I140,"-",Input!J140)),points11,2,)),0,VLOOKUP((CONCATENATE("Standing Long Jump-",I140,"-",Input!J140)),points11,2,))</f>
        <v>0</v>
      </c>
      <c r="Y140">
        <f>IF(ISNA(VLOOKUP((CONCATENATE("Speed Bounce-",I140,"-",Input!K140)),points11,2,)),0,VLOOKUP((CONCATENATE("Speed Bounce-",I140,"-",Input!K140)),points11,2,))</f>
        <v>0</v>
      </c>
      <c r="Z140">
        <f>IF(ISNA(VLOOKUP((CONCATENATE("Target Throw-",I140,"-",Input!L140)),points11,2,)),0,VLOOKUP((CONCATENATE("Target Throw-",I140,"-",Input!L140)),points11,2,))</f>
        <v>0</v>
      </c>
      <c r="AA140">
        <f>IF(ISNA(VLOOKUP((CONCATENATE("Hi-Stepper-",I140,"-",Input!M140)),points11,2,)),0,VLOOKUP((CONCATENATE("Hi-Stepper-",I140,"-",Input!M140)),points11,2,))</f>
        <v>0</v>
      </c>
      <c r="AB140">
        <f>IF(ISNA(VLOOKUP((CONCATENATE("Chest Push-",I140,"-",Input!N140)),points11,2,)),0,VLOOKUP((CONCATENATE("Chest Push-",I140,"-",Input!N140)),points11,2,))</f>
        <v>0</v>
      </c>
      <c r="AC140">
        <f>IF(ISNA(VLOOKUP((CONCATENATE("Javelin Throw-",I140,"-",Input!O140)),points11,2,)),0,VLOOKUP((CONCATENATE("Javelin Throw-",I140,"-",Input!O140)),points11,2,))</f>
        <v>0</v>
      </c>
      <c r="AD140">
        <f t="shared" si="31"/>
        <v>0</v>
      </c>
      <c r="AE140" t="str">
        <f t="shared" si="32"/>
        <v xml:space="preserve"> </v>
      </c>
      <c r="AF140">
        <f t="shared" si="33"/>
        <v>0</v>
      </c>
    </row>
    <row r="141" spans="2:32" ht="15" thickBot="1" x14ac:dyDescent="0.4">
      <c r="B141" s="631"/>
      <c r="C141" s="520">
        <v>11</v>
      </c>
      <c r="D141" s="289">
        <v>11</v>
      </c>
      <c r="E141" s="387"/>
      <c r="F141" s="362"/>
      <c r="G141" s="388"/>
      <c r="H141" s="388"/>
      <c r="I141" s="388"/>
      <c r="J141" s="393"/>
      <c r="K141" s="388"/>
      <c r="L141" s="388"/>
      <c r="M141" s="388"/>
      <c r="N141" s="388"/>
      <c r="O141" s="503"/>
      <c r="P141" s="509">
        <f t="shared" si="23"/>
        <v>0</v>
      </c>
      <c r="Q141" s="445">
        <f t="shared" si="24"/>
        <v>0</v>
      </c>
      <c r="R141" s="445">
        <f t="shared" si="25"/>
        <v>0</v>
      </c>
      <c r="S141" s="445">
        <f t="shared" si="26"/>
        <v>0</v>
      </c>
      <c r="T141" s="445">
        <f t="shared" si="27"/>
        <v>0</v>
      </c>
      <c r="U141" s="445">
        <f t="shared" si="28"/>
        <v>0</v>
      </c>
      <c r="V141" s="445">
        <f t="shared" si="29"/>
        <v>0</v>
      </c>
      <c r="W141" s="446">
        <f t="shared" si="30"/>
        <v>0</v>
      </c>
      <c r="X141">
        <f>IF(ISNA(VLOOKUP((CONCATENATE("Standing Long Jump-",I141,"-",Input!J141)),points11,2,)),0,VLOOKUP((CONCATENATE("Standing Long Jump-",I141,"-",Input!J141)),points11,2,))</f>
        <v>0</v>
      </c>
      <c r="Y141">
        <f>IF(ISNA(VLOOKUP((CONCATENATE("Speed Bounce-",I141,"-",Input!K141)),points11,2,)),0,VLOOKUP((CONCATENATE("Speed Bounce-",I141,"-",Input!K141)),points11,2,))</f>
        <v>0</v>
      </c>
      <c r="Z141">
        <f>IF(ISNA(VLOOKUP((CONCATENATE("Target Throw-",I141,"-",Input!L141)),points11,2,)),0,VLOOKUP((CONCATENATE("Target Throw-",I141,"-",Input!L141)),points11,2,))</f>
        <v>0</v>
      </c>
      <c r="AA141">
        <f>IF(ISNA(VLOOKUP((CONCATENATE("Hi-Stepper-",I141,"-",Input!M141)),points11,2,)),0,VLOOKUP((CONCATENATE("Hi-Stepper-",I141,"-",Input!M141)),points11,2,))</f>
        <v>0</v>
      </c>
      <c r="AB141">
        <f>IF(ISNA(VLOOKUP((CONCATENATE("Chest Push-",I141,"-",Input!N141)),points11,2,)),0,VLOOKUP((CONCATENATE("Chest Push-",I141,"-",Input!N141)),points11,2,))</f>
        <v>0</v>
      </c>
      <c r="AC141">
        <f>IF(ISNA(VLOOKUP((CONCATENATE("Javelin Throw-",I141,"-",Input!O141)),points11,2,)),0,VLOOKUP((CONCATENATE("Javelin Throw-",I141,"-",Input!O141)),points11,2,))</f>
        <v>0</v>
      </c>
      <c r="AD141">
        <f t="shared" si="31"/>
        <v>0</v>
      </c>
      <c r="AE141" t="str">
        <f t="shared" si="32"/>
        <v xml:space="preserve"> </v>
      </c>
      <c r="AF141">
        <f t="shared" si="33"/>
        <v>0</v>
      </c>
    </row>
    <row r="142" spans="2:32" ht="15" thickBot="1" x14ac:dyDescent="0.4">
      <c r="B142" s="631"/>
      <c r="C142" s="520">
        <v>12</v>
      </c>
      <c r="D142" s="289">
        <v>11</v>
      </c>
      <c r="E142" s="394"/>
      <c r="F142" s="395"/>
      <c r="G142" s="396"/>
      <c r="H142" s="396"/>
      <c r="I142" s="396"/>
      <c r="J142" s="397"/>
      <c r="K142" s="396"/>
      <c r="L142" s="396"/>
      <c r="M142" s="396"/>
      <c r="N142" s="396"/>
      <c r="O142" s="506"/>
      <c r="P142" s="510">
        <f t="shared" si="23"/>
        <v>0</v>
      </c>
      <c r="Q142" s="447">
        <f t="shared" si="24"/>
        <v>0</v>
      </c>
      <c r="R142" s="447">
        <f t="shared" si="25"/>
        <v>0</v>
      </c>
      <c r="S142" s="447">
        <f t="shared" si="26"/>
        <v>0</v>
      </c>
      <c r="T142" s="447">
        <f t="shared" si="27"/>
        <v>0</v>
      </c>
      <c r="U142" s="447">
        <f t="shared" si="28"/>
        <v>0</v>
      </c>
      <c r="V142" s="447">
        <f t="shared" si="29"/>
        <v>0</v>
      </c>
      <c r="W142" s="448">
        <f t="shared" si="30"/>
        <v>0</v>
      </c>
      <c r="X142">
        <f>IF(ISNA(VLOOKUP((CONCATENATE("Standing Long Jump-",I142,"-",Input!J142)),points11,2,)),0,VLOOKUP((CONCATENATE("Standing Long Jump-",I142,"-",Input!J142)),points11,2,))</f>
        <v>0</v>
      </c>
      <c r="Y142">
        <f>IF(ISNA(VLOOKUP((CONCATENATE("Speed Bounce-",I142,"-",Input!K142)),points11,2,)),0,VLOOKUP((CONCATENATE("Speed Bounce-",I142,"-",Input!K142)),points11,2,))</f>
        <v>0</v>
      </c>
      <c r="Z142">
        <f>IF(ISNA(VLOOKUP((CONCATENATE("Target Throw-",I142,"-",Input!L142)),points11,2,)),0,VLOOKUP((CONCATENATE("Target Throw-",I142,"-",Input!L142)),points11,2,))</f>
        <v>0</v>
      </c>
      <c r="AA142">
        <f>IF(ISNA(VLOOKUP((CONCATENATE("Hi-Stepper-",I142,"-",Input!M142)),points11,2,)),0,VLOOKUP((CONCATENATE("Hi-Stepper-",I142,"-",Input!M142)),points11,2,))</f>
        <v>0</v>
      </c>
      <c r="AB142">
        <f>IF(ISNA(VLOOKUP((CONCATENATE("Chest Push-",I142,"-",Input!N142)),points11,2,)),0,VLOOKUP((CONCATENATE("Chest Push-",I142,"-",Input!N142)),points11,2,))</f>
        <v>0</v>
      </c>
      <c r="AC142">
        <f>IF(ISNA(VLOOKUP((CONCATENATE("Javelin Throw-",I142,"-",Input!O142)),points11,2,)),0,VLOOKUP((CONCATENATE("Javelin Throw-",I142,"-",Input!O142)),points11,2,))</f>
        <v>0</v>
      </c>
      <c r="AD142">
        <f t="shared" si="31"/>
        <v>0</v>
      </c>
      <c r="AE142" t="str">
        <f t="shared" si="32"/>
        <v xml:space="preserve"> </v>
      </c>
      <c r="AF142">
        <f t="shared" si="33"/>
        <v>0</v>
      </c>
    </row>
    <row r="143" spans="2:32" ht="15" thickBot="1" x14ac:dyDescent="0.4">
      <c r="B143" s="631" t="str">
        <f>'Competition Menu'!E12</f>
        <v>Team 12</v>
      </c>
      <c r="C143" s="520">
        <v>1</v>
      </c>
      <c r="D143" s="289">
        <v>12</v>
      </c>
      <c r="E143" s="421"/>
      <c r="F143" s="407"/>
      <c r="G143" s="422"/>
      <c r="H143" s="422"/>
      <c r="I143" s="422"/>
      <c r="J143" s="431"/>
      <c r="K143" s="422"/>
      <c r="L143" s="422"/>
      <c r="M143" s="422"/>
      <c r="N143" s="422"/>
      <c r="O143" s="507"/>
      <c r="P143" s="511">
        <f t="shared" si="23"/>
        <v>0</v>
      </c>
      <c r="Q143" s="449">
        <f t="shared" si="24"/>
        <v>0</v>
      </c>
      <c r="R143" s="449">
        <f t="shared" si="25"/>
        <v>0</v>
      </c>
      <c r="S143" s="449">
        <f t="shared" si="26"/>
        <v>0</v>
      </c>
      <c r="T143" s="449">
        <f t="shared" si="27"/>
        <v>0</v>
      </c>
      <c r="U143" s="449">
        <f t="shared" si="28"/>
        <v>0</v>
      </c>
      <c r="V143" s="449">
        <f t="shared" si="29"/>
        <v>0</v>
      </c>
      <c r="W143" s="450">
        <f t="shared" si="30"/>
        <v>0</v>
      </c>
      <c r="X143">
        <f>IF(ISNA(VLOOKUP((CONCATENATE("Standing Long Jump-",I143,"-",Input!J143)),points11,2,)),0,VLOOKUP((CONCATENATE("Standing Long Jump-",I143,"-",Input!J143)),points11,2,))</f>
        <v>0</v>
      </c>
      <c r="Y143">
        <f>IF(ISNA(VLOOKUP((CONCATENATE("Speed Bounce-",I143,"-",Input!K143)),points11,2,)),0,VLOOKUP((CONCATENATE("Speed Bounce-",I143,"-",Input!K143)),points11,2,))</f>
        <v>0</v>
      </c>
      <c r="Z143">
        <f>IF(ISNA(VLOOKUP((CONCATENATE("Target Throw-",I143,"-",Input!L143)),points11,2,)),0,VLOOKUP((CONCATENATE("Target Throw-",I143,"-",Input!L143)),points11,2,))</f>
        <v>0</v>
      </c>
      <c r="AA143">
        <f>IF(ISNA(VLOOKUP((CONCATENATE("Hi-Stepper-",I143,"-",Input!M143)),points11,2,)),0,VLOOKUP((CONCATENATE("Hi-Stepper-",I143,"-",Input!M143)),points11,2,))</f>
        <v>0</v>
      </c>
      <c r="AB143">
        <f>IF(ISNA(VLOOKUP((CONCATENATE("Chest Push-",I143,"-",Input!N143)),points11,2,)),0,VLOOKUP((CONCATENATE("Chest Push-",I143,"-",Input!N143)),points11,2,))</f>
        <v>0</v>
      </c>
      <c r="AC143">
        <f>IF(ISNA(VLOOKUP((CONCATENATE("Javelin Throw-",I143,"-",Input!O143)),points11,2,)),0,VLOOKUP((CONCATENATE("Javelin Throw-",I143,"-",Input!O143)),points11,2,))</f>
        <v>0</v>
      </c>
      <c r="AD143">
        <f t="shared" si="31"/>
        <v>0</v>
      </c>
      <c r="AE143" t="str">
        <f t="shared" si="32"/>
        <v xml:space="preserve"> </v>
      </c>
      <c r="AF143">
        <f t="shared" si="33"/>
        <v>0</v>
      </c>
    </row>
    <row r="144" spans="2:32" ht="15" thickBot="1" x14ac:dyDescent="0.4">
      <c r="B144" s="631"/>
      <c r="C144" s="520">
        <v>2</v>
      </c>
      <c r="D144" s="289">
        <v>12</v>
      </c>
      <c r="E144" s="387"/>
      <c r="F144" s="362"/>
      <c r="G144" s="388"/>
      <c r="H144" s="388"/>
      <c r="I144" s="388"/>
      <c r="J144" s="393"/>
      <c r="K144" s="388"/>
      <c r="L144" s="388"/>
      <c r="M144" s="388"/>
      <c r="N144" s="388"/>
      <c r="O144" s="503"/>
      <c r="P144" s="509">
        <f t="shared" si="23"/>
        <v>0</v>
      </c>
      <c r="Q144" s="445">
        <f t="shared" si="24"/>
        <v>0</v>
      </c>
      <c r="R144" s="445">
        <f t="shared" si="25"/>
        <v>0</v>
      </c>
      <c r="S144" s="445">
        <f t="shared" si="26"/>
        <v>0</v>
      </c>
      <c r="T144" s="445">
        <f t="shared" si="27"/>
        <v>0</v>
      </c>
      <c r="U144" s="445">
        <f t="shared" si="28"/>
        <v>0</v>
      </c>
      <c r="V144" s="445">
        <f t="shared" si="29"/>
        <v>0</v>
      </c>
      <c r="W144" s="446">
        <f t="shared" si="30"/>
        <v>0</v>
      </c>
      <c r="X144">
        <f>IF(ISNA(VLOOKUP((CONCATENATE("Standing Long Jump-",I144,"-",Input!J144)),points11,2,)),0,VLOOKUP((CONCATENATE("Standing Long Jump-",I144,"-",Input!J144)),points11,2,))</f>
        <v>0</v>
      </c>
      <c r="Y144">
        <f>IF(ISNA(VLOOKUP((CONCATENATE("Speed Bounce-",I144,"-",Input!K144)),points11,2,)),0,VLOOKUP((CONCATENATE("Speed Bounce-",I144,"-",Input!K144)),points11,2,))</f>
        <v>0</v>
      </c>
      <c r="Z144">
        <f>IF(ISNA(VLOOKUP((CONCATENATE("Target Throw-",I144,"-",Input!L144)),points11,2,)),0,VLOOKUP((CONCATENATE("Target Throw-",I144,"-",Input!L144)),points11,2,))</f>
        <v>0</v>
      </c>
      <c r="AA144">
        <f>IF(ISNA(VLOOKUP((CONCATENATE("Hi-Stepper-",I144,"-",Input!M144)),points11,2,)),0,VLOOKUP((CONCATENATE("Hi-Stepper-",I144,"-",Input!M144)),points11,2,))</f>
        <v>0</v>
      </c>
      <c r="AB144">
        <f>IF(ISNA(VLOOKUP((CONCATENATE("Chest Push-",I144,"-",Input!N144)),points11,2,)),0,VLOOKUP((CONCATENATE("Chest Push-",I144,"-",Input!N144)),points11,2,))</f>
        <v>0</v>
      </c>
      <c r="AC144">
        <f>IF(ISNA(VLOOKUP((CONCATENATE("Javelin Throw-",I144,"-",Input!O144)),points11,2,)),0,VLOOKUP((CONCATENATE("Javelin Throw-",I144,"-",Input!O144)),points11,2,))</f>
        <v>0</v>
      </c>
      <c r="AD144">
        <f t="shared" si="31"/>
        <v>0</v>
      </c>
      <c r="AE144" t="str">
        <f t="shared" si="32"/>
        <v xml:space="preserve"> </v>
      </c>
      <c r="AF144">
        <f t="shared" si="33"/>
        <v>0</v>
      </c>
    </row>
    <row r="145" spans="2:32" ht="15" thickBot="1" x14ac:dyDescent="0.4">
      <c r="B145" s="631"/>
      <c r="C145" s="520">
        <v>3</v>
      </c>
      <c r="D145" s="289">
        <v>12</v>
      </c>
      <c r="E145" s="387"/>
      <c r="F145" s="362"/>
      <c r="G145" s="388"/>
      <c r="H145" s="388"/>
      <c r="I145" s="388"/>
      <c r="J145" s="393"/>
      <c r="K145" s="388"/>
      <c r="L145" s="388"/>
      <c r="M145" s="388"/>
      <c r="N145" s="388"/>
      <c r="O145" s="503"/>
      <c r="P145" s="509">
        <f t="shared" si="23"/>
        <v>0</v>
      </c>
      <c r="Q145" s="445">
        <f t="shared" si="24"/>
        <v>0</v>
      </c>
      <c r="R145" s="445">
        <f t="shared" si="25"/>
        <v>0</v>
      </c>
      <c r="S145" s="445">
        <f t="shared" si="26"/>
        <v>0</v>
      </c>
      <c r="T145" s="445">
        <f t="shared" si="27"/>
        <v>0</v>
      </c>
      <c r="U145" s="445">
        <f t="shared" si="28"/>
        <v>0</v>
      </c>
      <c r="V145" s="445">
        <f t="shared" si="29"/>
        <v>0</v>
      </c>
      <c r="W145" s="446">
        <f t="shared" si="30"/>
        <v>0</v>
      </c>
      <c r="X145">
        <f>IF(ISNA(VLOOKUP((CONCATENATE("Standing Long Jump-",I145,"-",Input!J145)),points11,2,)),0,VLOOKUP((CONCATENATE("Standing Long Jump-",I145,"-",Input!J145)),points11,2,))</f>
        <v>0</v>
      </c>
      <c r="Y145">
        <f>IF(ISNA(VLOOKUP((CONCATENATE("Speed Bounce-",I145,"-",Input!K145)),points11,2,)),0,VLOOKUP((CONCATENATE("Speed Bounce-",I145,"-",Input!K145)),points11,2,))</f>
        <v>0</v>
      </c>
      <c r="Z145">
        <f>IF(ISNA(VLOOKUP((CONCATENATE("Target Throw-",I145,"-",Input!L145)),points11,2,)),0,VLOOKUP((CONCATENATE("Target Throw-",I145,"-",Input!L145)),points11,2,))</f>
        <v>0</v>
      </c>
      <c r="AA145">
        <f>IF(ISNA(VLOOKUP((CONCATENATE("Hi-Stepper-",I145,"-",Input!M145)),points11,2,)),0,VLOOKUP((CONCATENATE("Hi-Stepper-",I145,"-",Input!M145)),points11,2,))</f>
        <v>0</v>
      </c>
      <c r="AB145">
        <f>IF(ISNA(VLOOKUP((CONCATENATE("Chest Push-",I145,"-",Input!N145)),points11,2,)),0,VLOOKUP((CONCATENATE("Chest Push-",I145,"-",Input!N145)),points11,2,))</f>
        <v>0</v>
      </c>
      <c r="AC145">
        <f>IF(ISNA(VLOOKUP((CONCATENATE("Javelin Throw-",I145,"-",Input!O145)),points11,2,)),0,VLOOKUP((CONCATENATE("Javelin Throw-",I145,"-",Input!O145)),points11,2,))</f>
        <v>0</v>
      </c>
      <c r="AD145">
        <f t="shared" si="31"/>
        <v>0</v>
      </c>
      <c r="AE145" t="str">
        <f t="shared" si="32"/>
        <v xml:space="preserve"> </v>
      </c>
      <c r="AF145">
        <f t="shared" si="33"/>
        <v>0</v>
      </c>
    </row>
    <row r="146" spans="2:32" ht="15" thickBot="1" x14ac:dyDescent="0.4">
      <c r="B146" s="631"/>
      <c r="C146" s="520">
        <v>4</v>
      </c>
      <c r="D146" s="289">
        <v>12</v>
      </c>
      <c r="E146" s="387"/>
      <c r="F146" s="362"/>
      <c r="G146" s="388"/>
      <c r="H146" s="388"/>
      <c r="I146" s="388"/>
      <c r="J146" s="393"/>
      <c r="K146" s="388"/>
      <c r="L146" s="388"/>
      <c r="M146" s="388"/>
      <c r="N146" s="388"/>
      <c r="O146" s="503"/>
      <c r="P146" s="509">
        <f t="shared" si="23"/>
        <v>0</v>
      </c>
      <c r="Q146" s="445">
        <f t="shared" si="24"/>
        <v>0</v>
      </c>
      <c r="R146" s="445">
        <f t="shared" si="25"/>
        <v>0</v>
      </c>
      <c r="S146" s="445">
        <f t="shared" si="26"/>
        <v>0</v>
      </c>
      <c r="T146" s="445">
        <f t="shared" si="27"/>
        <v>0</v>
      </c>
      <c r="U146" s="445">
        <f t="shared" si="28"/>
        <v>0</v>
      </c>
      <c r="V146" s="445">
        <f t="shared" si="29"/>
        <v>0</v>
      </c>
      <c r="W146" s="446">
        <f t="shared" si="30"/>
        <v>0</v>
      </c>
      <c r="X146">
        <f>IF(ISNA(VLOOKUP((CONCATENATE("Standing Long Jump-",I146,"-",Input!J146)),points11,2,)),0,VLOOKUP((CONCATENATE("Standing Long Jump-",I146,"-",Input!J146)),points11,2,))</f>
        <v>0</v>
      </c>
      <c r="Y146">
        <f>IF(ISNA(VLOOKUP((CONCATENATE("Speed Bounce-",I146,"-",Input!K146)),points11,2,)),0,VLOOKUP((CONCATENATE("Speed Bounce-",I146,"-",Input!K146)),points11,2,))</f>
        <v>0</v>
      </c>
      <c r="Z146">
        <f>IF(ISNA(VLOOKUP((CONCATENATE("Target Throw-",I146,"-",Input!L146)),points11,2,)),0,VLOOKUP((CONCATENATE("Target Throw-",I146,"-",Input!L146)),points11,2,))</f>
        <v>0</v>
      </c>
      <c r="AA146">
        <f>IF(ISNA(VLOOKUP((CONCATENATE("Hi-Stepper-",I146,"-",Input!M146)),points11,2,)),0,VLOOKUP((CONCATENATE("Hi-Stepper-",I146,"-",Input!M146)),points11,2,))</f>
        <v>0</v>
      </c>
      <c r="AB146">
        <f>IF(ISNA(VLOOKUP((CONCATENATE("Chest Push-",I146,"-",Input!N146)),points11,2,)),0,VLOOKUP((CONCATENATE("Chest Push-",I146,"-",Input!N146)),points11,2,))</f>
        <v>0</v>
      </c>
      <c r="AC146">
        <f>IF(ISNA(VLOOKUP((CONCATENATE("Javelin Throw-",I146,"-",Input!O146)),points11,2,)),0,VLOOKUP((CONCATENATE("Javelin Throw-",I146,"-",Input!O146)),points11,2,))</f>
        <v>0</v>
      </c>
      <c r="AD146">
        <f t="shared" si="31"/>
        <v>0</v>
      </c>
      <c r="AE146" t="str">
        <f t="shared" si="32"/>
        <v xml:space="preserve"> </v>
      </c>
      <c r="AF146">
        <f t="shared" si="33"/>
        <v>0</v>
      </c>
    </row>
    <row r="147" spans="2:32" ht="15" thickBot="1" x14ac:dyDescent="0.4">
      <c r="B147" s="631"/>
      <c r="C147" s="520">
        <v>5</v>
      </c>
      <c r="D147" s="289">
        <v>12</v>
      </c>
      <c r="E147" s="387"/>
      <c r="F147" s="362"/>
      <c r="G147" s="388"/>
      <c r="H147" s="388"/>
      <c r="I147" s="388"/>
      <c r="J147" s="393"/>
      <c r="K147" s="388"/>
      <c r="L147" s="388"/>
      <c r="M147" s="388"/>
      <c r="N147" s="388"/>
      <c r="O147" s="503"/>
      <c r="P147" s="509">
        <f t="shared" si="23"/>
        <v>0</v>
      </c>
      <c r="Q147" s="445">
        <f t="shared" si="24"/>
        <v>0</v>
      </c>
      <c r="R147" s="445">
        <f t="shared" si="25"/>
        <v>0</v>
      </c>
      <c r="S147" s="445">
        <f t="shared" si="26"/>
        <v>0</v>
      </c>
      <c r="T147" s="445">
        <f t="shared" si="27"/>
        <v>0</v>
      </c>
      <c r="U147" s="445">
        <f t="shared" si="28"/>
        <v>0</v>
      </c>
      <c r="V147" s="445">
        <f t="shared" si="29"/>
        <v>0</v>
      </c>
      <c r="W147" s="446">
        <f t="shared" si="30"/>
        <v>0</v>
      </c>
      <c r="X147">
        <f>IF(ISNA(VLOOKUP((CONCATENATE("Standing Long Jump-",I147,"-",Input!J147)),points11,2,)),0,VLOOKUP((CONCATENATE("Standing Long Jump-",I147,"-",Input!J147)),points11,2,))</f>
        <v>0</v>
      </c>
      <c r="Y147">
        <f>IF(ISNA(VLOOKUP((CONCATENATE("Speed Bounce-",I147,"-",Input!K147)),points11,2,)),0,VLOOKUP((CONCATENATE("Speed Bounce-",I147,"-",Input!K147)),points11,2,))</f>
        <v>0</v>
      </c>
      <c r="Z147">
        <f>IF(ISNA(VLOOKUP((CONCATENATE("Target Throw-",I147,"-",Input!L147)),points11,2,)),0,VLOOKUP((CONCATENATE("Target Throw-",I147,"-",Input!L147)),points11,2,))</f>
        <v>0</v>
      </c>
      <c r="AA147">
        <f>IF(ISNA(VLOOKUP((CONCATENATE("Hi-Stepper-",I147,"-",Input!M147)),points11,2,)),0,VLOOKUP((CONCATENATE("Hi-Stepper-",I147,"-",Input!M147)),points11,2,))</f>
        <v>0</v>
      </c>
      <c r="AB147">
        <f>IF(ISNA(VLOOKUP((CONCATENATE("Chest Push-",I147,"-",Input!N147)),points11,2,)),0,VLOOKUP((CONCATENATE("Chest Push-",I147,"-",Input!N147)),points11,2,))</f>
        <v>0</v>
      </c>
      <c r="AC147">
        <f>IF(ISNA(VLOOKUP((CONCATENATE("Javelin Throw-",I147,"-",Input!O147)),points11,2,)),0,VLOOKUP((CONCATENATE("Javelin Throw-",I147,"-",Input!O147)),points11,2,))</f>
        <v>0</v>
      </c>
      <c r="AD147">
        <f t="shared" si="31"/>
        <v>0</v>
      </c>
      <c r="AE147" t="str">
        <f t="shared" si="32"/>
        <v xml:space="preserve"> </v>
      </c>
      <c r="AF147">
        <f t="shared" si="33"/>
        <v>0</v>
      </c>
    </row>
    <row r="148" spans="2:32" ht="15" thickBot="1" x14ac:dyDescent="0.4">
      <c r="B148" s="631"/>
      <c r="C148" s="520">
        <v>6</v>
      </c>
      <c r="D148" s="289">
        <v>12</v>
      </c>
      <c r="E148" s="387"/>
      <c r="F148" s="362"/>
      <c r="G148" s="388"/>
      <c r="H148" s="388"/>
      <c r="I148" s="388"/>
      <c r="J148" s="393"/>
      <c r="K148" s="388"/>
      <c r="L148" s="388"/>
      <c r="M148" s="388"/>
      <c r="N148" s="388"/>
      <c r="O148" s="503"/>
      <c r="P148" s="509">
        <f t="shared" si="23"/>
        <v>0</v>
      </c>
      <c r="Q148" s="445">
        <f t="shared" si="24"/>
        <v>0</v>
      </c>
      <c r="R148" s="445">
        <f t="shared" si="25"/>
        <v>0</v>
      </c>
      <c r="S148" s="445">
        <f t="shared" si="26"/>
        <v>0</v>
      </c>
      <c r="T148" s="445">
        <f t="shared" si="27"/>
        <v>0</v>
      </c>
      <c r="U148" s="445">
        <f t="shared" si="28"/>
        <v>0</v>
      </c>
      <c r="V148" s="445">
        <f t="shared" si="29"/>
        <v>0</v>
      </c>
      <c r="W148" s="446">
        <f t="shared" si="30"/>
        <v>0</v>
      </c>
      <c r="X148">
        <f>IF(ISNA(VLOOKUP((CONCATENATE("Standing Long Jump-",I148,"-",Input!J148)),points11,2,)),0,VLOOKUP((CONCATENATE("Standing Long Jump-",I148,"-",Input!J148)),points11,2,))</f>
        <v>0</v>
      </c>
      <c r="Y148">
        <f>IF(ISNA(VLOOKUP((CONCATENATE("Speed Bounce-",I148,"-",Input!K148)),points11,2,)),0,VLOOKUP((CONCATENATE("Speed Bounce-",I148,"-",Input!K148)),points11,2,))</f>
        <v>0</v>
      </c>
      <c r="Z148">
        <f>IF(ISNA(VLOOKUP((CONCATENATE("Target Throw-",I148,"-",Input!L148)),points11,2,)),0,VLOOKUP((CONCATENATE("Target Throw-",I148,"-",Input!L148)),points11,2,))</f>
        <v>0</v>
      </c>
      <c r="AA148">
        <f>IF(ISNA(VLOOKUP((CONCATENATE("Hi-Stepper-",I148,"-",Input!M148)),points11,2,)),0,VLOOKUP((CONCATENATE("Hi-Stepper-",I148,"-",Input!M148)),points11,2,))</f>
        <v>0</v>
      </c>
      <c r="AB148">
        <f>IF(ISNA(VLOOKUP((CONCATENATE("Chest Push-",I148,"-",Input!N148)),points11,2,)),0,VLOOKUP((CONCATENATE("Chest Push-",I148,"-",Input!N148)),points11,2,))</f>
        <v>0</v>
      </c>
      <c r="AC148">
        <f>IF(ISNA(VLOOKUP((CONCATENATE("Javelin Throw-",I148,"-",Input!O148)),points11,2,)),0,VLOOKUP((CONCATENATE("Javelin Throw-",I148,"-",Input!O148)),points11,2,))</f>
        <v>0</v>
      </c>
      <c r="AD148">
        <f t="shared" si="31"/>
        <v>0</v>
      </c>
      <c r="AE148" t="str">
        <f t="shared" si="32"/>
        <v xml:space="preserve"> </v>
      </c>
      <c r="AF148">
        <f t="shared" si="33"/>
        <v>0</v>
      </c>
    </row>
    <row r="149" spans="2:32" ht="15" thickBot="1" x14ac:dyDescent="0.4">
      <c r="B149" s="631"/>
      <c r="C149" s="520">
        <v>7</v>
      </c>
      <c r="D149" s="289">
        <v>12</v>
      </c>
      <c r="E149" s="387"/>
      <c r="F149" s="362"/>
      <c r="G149" s="388"/>
      <c r="H149" s="388"/>
      <c r="I149" s="388"/>
      <c r="J149" s="393"/>
      <c r="K149" s="388"/>
      <c r="L149" s="388"/>
      <c r="M149" s="388"/>
      <c r="N149" s="388"/>
      <c r="O149" s="503"/>
      <c r="P149" s="509">
        <f t="shared" si="23"/>
        <v>0</v>
      </c>
      <c r="Q149" s="445">
        <f t="shared" si="24"/>
        <v>0</v>
      </c>
      <c r="R149" s="445">
        <f t="shared" si="25"/>
        <v>0</v>
      </c>
      <c r="S149" s="445">
        <f t="shared" si="26"/>
        <v>0</v>
      </c>
      <c r="T149" s="445">
        <f t="shared" si="27"/>
        <v>0</v>
      </c>
      <c r="U149" s="445">
        <f t="shared" si="28"/>
        <v>0</v>
      </c>
      <c r="V149" s="445">
        <f t="shared" si="29"/>
        <v>0</v>
      </c>
      <c r="W149" s="446">
        <f t="shared" si="30"/>
        <v>0</v>
      </c>
      <c r="X149">
        <f>IF(ISNA(VLOOKUP((CONCATENATE("Standing Long Jump-",I149,"-",Input!J149)),points11,2,)),0,VLOOKUP((CONCATENATE("Standing Long Jump-",I149,"-",Input!J149)),points11,2,))</f>
        <v>0</v>
      </c>
      <c r="Y149">
        <f>IF(ISNA(VLOOKUP((CONCATENATE("Speed Bounce-",I149,"-",Input!K149)),points11,2,)),0,VLOOKUP((CONCATENATE("Speed Bounce-",I149,"-",Input!K149)),points11,2,))</f>
        <v>0</v>
      </c>
      <c r="Z149">
        <f>IF(ISNA(VLOOKUP((CONCATENATE("Target Throw-",I149,"-",Input!L149)),points11,2,)),0,VLOOKUP((CONCATENATE("Target Throw-",I149,"-",Input!L149)),points11,2,))</f>
        <v>0</v>
      </c>
      <c r="AA149">
        <f>IF(ISNA(VLOOKUP((CONCATENATE("Hi-Stepper-",I149,"-",Input!M149)),points11,2,)),0,VLOOKUP((CONCATENATE("Hi-Stepper-",I149,"-",Input!M149)),points11,2,))</f>
        <v>0</v>
      </c>
      <c r="AB149">
        <f>IF(ISNA(VLOOKUP((CONCATENATE("Chest Push-",I149,"-",Input!N149)),points11,2,)),0,VLOOKUP((CONCATENATE("Chest Push-",I149,"-",Input!N149)),points11,2,))</f>
        <v>0</v>
      </c>
      <c r="AC149">
        <f>IF(ISNA(VLOOKUP((CONCATENATE("Javelin Throw-",I149,"-",Input!O149)),points11,2,)),0,VLOOKUP((CONCATENATE("Javelin Throw-",I149,"-",Input!O149)),points11,2,))</f>
        <v>0</v>
      </c>
      <c r="AD149">
        <f t="shared" si="31"/>
        <v>0</v>
      </c>
      <c r="AE149" t="str">
        <f t="shared" si="32"/>
        <v xml:space="preserve"> </v>
      </c>
      <c r="AF149">
        <f t="shared" si="33"/>
        <v>0</v>
      </c>
    </row>
    <row r="150" spans="2:32" ht="15" thickBot="1" x14ac:dyDescent="0.4">
      <c r="B150" s="631"/>
      <c r="C150" s="520">
        <v>8</v>
      </c>
      <c r="D150" s="289">
        <v>12</v>
      </c>
      <c r="E150" s="387"/>
      <c r="F150" s="362"/>
      <c r="G150" s="388"/>
      <c r="H150" s="388"/>
      <c r="I150" s="388"/>
      <c r="J150" s="393"/>
      <c r="K150" s="388"/>
      <c r="L150" s="388"/>
      <c r="M150" s="388"/>
      <c r="N150" s="388"/>
      <c r="O150" s="503"/>
      <c r="P150" s="509">
        <f t="shared" si="23"/>
        <v>0</v>
      </c>
      <c r="Q150" s="445">
        <f t="shared" si="24"/>
        <v>0</v>
      </c>
      <c r="R150" s="445">
        <f t="shared" si="25"/>
        <v>0</v>
      </c>
      <c r="S150" s="445">
        <f t="shared" si="26"/>
        <v>0</v>
      </c>
      <c r="T150" s="445">
        <f t="shared" si="27"/>
        <v>0</v>
      </c>
      <c r="U150" s="445">
        <f t="shared" si="28"/>
        <v>0</v>
      </c>
      <c r="V150" s="445">
        <f t="shared" si="29"/>
        <v>0</v>
      </c>
      <c r="W150" s="446">
        <f t="shared" si="30"/>
        <v>0</v>
      </c>
      <c r="X150">
        <f>IF(ISNA(VLOOKUP((CONCATENATE("Standing Long Jump-",I150,"-",Input!J150)),points11,2,)),0,VLOOKUP((CONCATENATE("Standing Long Jump-",I150,"-",Input!J150)),points11,2,))</f>
        <v>0</v>
      </c>
      <c r="Y150">
        <f>IF(ISNA(VLOOKUP((CONCATENATE("Speed Bounce-",I150,"-",Input!K150)),points11,2,)),0,VLOOKUP((CONCATENATE("Speed Bounce-",I150,"-",Input!K150)),points11,2,))</f>
        <v>0</v>
      </c>
      <c r="Z150">
        <f>IF(ISNA(VLOOKUP((CONCATENATE("Target Throw-",I150,"-",Input!L150)),points11,2,)),0,VLOOKUP((CONCATENATE("Target Throw-",I150,"-",Input!L150)),points11,2,))</f>
        <v>0</v>
      </c>
      <c r="AA150">
        <f>IF(ISNA(VLOOKUP((CONCATENATE("Hi-Stepper-",I150,"-",Input!M150)),points11,2,)),0,VLOOKUP((CONCATENATE("Hi-Stepper-",I150,"-",Input!M150)),points11,2,))</f>
        <v>0</v>
      </c>
      <c r="AB150">
        <f>IF(ISNA(VLOOKUP((CONCATENATE("Chest Push-",I150,"-",Input!N150)),points11,2,)),0,VLOOKUP((CONCATENATE("Chest Push-",I150,"-",Input!N150)),points11,2,))</f>
        <v>0</v>
      </c>
      <c r="AC150">
        <f>IF(ISNA(VLOOKUP((CONCATENATE("Javelin Throw-",I150,"-",Input!O150)),points11,2,)),0,VLOOKUP((CONCATENATE("Javelin Throw-",I150,"-",Input!O150)),points11,2,))</f>
        <v>0</v>
      </c>
      <c r="AD150">
        <f t="shared" si="31"/>
        <v>0</v>
      </c>
      <c r="AE150" t="str">
        <f t="shared" si="32"/>
        <v xml:space="preserve"> </v>
      </c>
      <c r="AF150">
        <f t="shared" si="33"/>
        <v>0</v>
      </c>
    </row>
    <row r="151" spans="2:32" ht="15" thickBot="1" x14ac:dyDescent="0.4">
      <c r="B151" s="631"/>
      <c r="C151" s="520">
        <v>9</v>
      </c>
      <c r="D151" s="289">
        <v>12</v>
      </c>
      <c r="E151" s="387"/>
      <c r="F151" s="362"/>
      <c r="G151" s="388"/>
      <c r="H151" s="388"/>
      <c r="I151" s="388"/>
      <c r="J151" s="393"/>
      <c r="K151" s="388"/>
      <c r="L151" s="388"/>
      <c r="M151" s="388"/>
      <c r="N151" s="388"/>
      <c r="O151" s="503"/>
      <c r="P151" s="509">
        <f t="shared" si="23"/>
        <v>0</v>
      </c>
      <c r="Q151" s="445">
        <f t="shared" si="24"/>
        <v>0</v>
      </c>
      <c r="R151" s="445">
        <f t="shared" si="25"/>
        <v>0</v>
      </c>
      <c r="S151" s="445">
        <f t="shared" si="26"/>
        <v>0</v>
      </c>
      <c r="T151" s="445">
        <f t="shared" si="27"/>
        <v>0</v>
      </c>
      <c r="U151" s="445">
        <f t="shared" si="28"/>
        <v>0</v>
      </c>
      <c r="V151" s="445">
        <f t="shared" si="29"/>
        <v>0</v>
      </c>
      <c r="W151" s="446">
        <f t="shared" si="30"/>
        <v>0</v>
      </c>
      <c r="X151">
        <f>IF(ISNA(VLOOKUP((CONCATENATE("Standing Long Jump-",I151,"-",Input!J151)),points11,2,)),0,VLOOKUP((CONCATENATE("Standing Long Jump-",I151,"-",Input!J151)),points11,2,))</f>
        <v>0</v>
      </c>
      <c r="Y151">
        <f>IF(ISNA(VLOOKUP((CONCATENATE("Speed Bounce-",I151,"-",Input!K151)),points11,2,)),0,VLOOKUP((CONCATENATE("Speed Bounce-",I151,"-",Input!K151)),points11,2,))</f>
        <v>0</v>
      </c>
      <c r="Z151">
        <f>IF(ISNA(VLOOKUP((CONCATENATE("Target Throw-",I151,"-",Input!L151)),points11,2,)),0,VLOOKUP((CONCATENATE("Target Throw-",I151,"-",Input!L151)),points11,2,))</f>
        <v>0</v>
      </c>
      <c r="AA151">
        <f>IF(ISNA(VLOOKUP((CONCATENATE("Hi-Stepper-",I151,"-",Input!M151)),points11,2,)),0,VLOOKUP((CONCATENATE("Hi-Stepper-",I151,"-",Input!M151)),points11,2,))</f>
        <v>0</v>
      </c>
      <c r="AB151">
        <f>IF(ISNA(VLOOKUP((CONCATENATE("Chest Push-",I151,"-",Input!N151)),points11,2,)),0,VLOOKUP((CONCATENATE("Chest Push-",I151,"-",Input!N151)),points11,2,))</f>
        <v>0</v>
      </c>
      <c r="AC151">
        <f>IF(ISNA(VLOOKUP((CONCATENATE("Javelin Throw-",I151,"-",Input!O151)),points11,2,)),0,VLOOKUP((CONCATENATE("Javelin Throw-",I151,"-",Input!O151)),points11,2,))</f>
        <v>0</v>
      </c>
      <c r="AD151">
        <f t="shared" si="31"/>
        <v>0</v>
      </c>
      <c r="AE151" t="str">
        <f t="shared" si="32"/>
        <v xml:space="preserve"> </v>
      </c>
      <c r="AF151">
        <f t="shared" si="33"/>
        <v>0</v>
      </c>
    </row>
    <row r="152" spans="2:32" ht="15" thickBot="1" x14ac:dyDescent="0.4">
      <c r="B152" s="631"/>
      <c r="C152" s="520">
        <v>10</v>
      </c>
      <c r="D152" s="289">
        <v>12</v>
      </c>
      <c r="E152" s="387"/>
      <c r="F152" s="362"/>
      <c r="G152" s="388"/>
      <c r="H152" s="388"/>
      <c r="I152" s="388"/>
      <c r="J152" s="393"/>
      <c r="K152" s="388"/>
      <c r="L152" s="388"/>
      <c r="M152" s="388"/>
      <c r="N152" s="388"/>
      <c r="O152" s="503"/>
      <c r="P152" s="509">
        <f t="shared" si="23"/>
        <v>0</v>
      </c>
      <c r="Q152" s="445">
        <f t="shared" si="24"/>
        <v>0</v>
      </c>
      <c r="R152" s="445">
        <f t="shared" si="25"/>
        <v>0</v>
      </c>
      <c r="S152" s="445">
        <f t="shared" si="26"/>
        <v>0</v>
      </c>
      <c r="T152" s="445">
        <f t="shared" si="27"/>
        <v>0</v>
      </c>
      <c r="U152" s="445">
        <f t="shared" si="28"/>
        <v>0</v>
      </c>
      <c r="V152" s="445">
        <f t="shared" si="29"/>
        <v>0</v>
      </c>
      <c r="W152" s="446">
        <f t="shared" si="30"/>
        <v>0</v>
      </c>
      <c r="X152">
        <f>IF(ISNA(VLOOKUP((CONCATENATE("Standing Long Jump-",I152,"-",Input!J152)),points11,2,)),0,VLOOKUP((CONCATENATE("Standing Long Jump-",I152,"-",Input!J152)),points11,2,))</f>
        <v>0</v>
      </c>
      <c r="Y152">
        <f>IF(ISNA(VLOOKUP((CONCATENATE("Speed Bounce-",I152,"-",Input!K152)),points11,2,)),0,VLOOKUP((CONCATENATE("Speed Bounce-",I152,"-",Input!K152)),points11,2,))</f>
        <v>0</v>
      </c>
      <c r="Z152">
        <f>IF(ISNA(VLOOKUP((CONCATENATE("Target Throw-",I152,"-",Input!L152)),points11,2,)),0,VLOOKUP((CONCATENATE("Target Throw-",I152,"-",Input!L152)),points11,2,))</f>
        <v>0</v>
      </c>
      <c r="AA152">
        <f>IF(ISNA(VLOOKUP((CONCATENATE("Hi-Stepper-",I152,"-",Input!M152)),points11,2,)),0,VLOOKUP((CONCATENATE("Hi-Stepper-",I152,"-",Input!M152)),points11,2,))</f>
        <v>0</v>
      </c>
      <c r="AB152">
        <f>IF(ISNA(VLOOKUP((CONCATENATE("Chest Push-",I152,"-",Input!N152)),points11,2,)),0,VLOOKUP((CONCATENATE("Chest Push-",I152,"-",Input!N152)),points11,2,))</f>
        <v>0</v>
      </c>
      <c r="AC152">
        <f>IF(ISNA(VLOOKUP((CONCATENATE("Javelin Throw-",I152,"-",Input!O152)),points11,2,)),0,VLOOKUP((CONCATENATE("Javelin Throw-",I152,"-",Input!O152)),points11,2,))</f>
        <v>0</v>
      </c>
      <c r="AD152">
        <f t="shared" si="31"/>
        <v>0</v>
      </c>
      <c r="AE152" t="str">
        <f t="shared" si="32"/>
        <v xml:space="preserve"> </v>
      </c>
      <c r="AF152">
        <f t="shared" si="33"/>
        <v>0</v>
      </c>
    </row>
    <row r="153" spans="2:32" ht="15" thickBot="1" x14ac:dyDescent="0.4">
      <c r="B153" s="631"/>
      <c r="C153" s="520">
        <v>11</v>
      </c>
      <c r="D153" s="289">
        <v>12</v>
      </c>
      <c r="E153" s="387"/>
      <c r="F153" s="362"/>
      <c r="G153" s="388"/>
      <c r="H153" s="388"/>
      <c r="I153" s="388"/>
      <c r="J153" s="393"/>
      <c r="K153" s="388"/>
      <c r="L153" s="388"/>
      <c r="M153" s="388"/>
      <c r="N153" s="388"/>
      <c r="O153" s="503"/>
      <c r="P153" s="509">
        <f t="shared" si="23"/>
        <v>0</v>
      </c>
      <c r="Q153" s="445">
        <f t="shared" si="24"/>
        <v>0</v>
      </c>
      <c r="R153" s="445">
        <f t="shared" si="25"/>
        <v>0</v>
      </c>
      <c r="S153" s="445">
        <f t="shared" si="26"/>
        <v>0</v>
      </c>
      <c r="T153" s="445">
        <f t="shared" si="27"/>
        <v>0</v>
      </c>
      <c r="U153" s="445">
        <f t="shared" si="28"/>
        <v>0</v>
      </c>
      <c r="V153" s="445">
        <f t="shared" si="29"/>
        <v>0</v>
      </c>
      <c r="W153" s="446">
        <f t="shared" si="30"/>
        <v>0</v>
      </c>
      <c r="X153">
        <f>IF(ISNA(VLOOKUP((CONCATENATE("Standing Long Jump-",I153,"-",Input!J153)),points11,2,)),0,VLOOKUP((CONCATENATE("Standing Long Jump-",I153,"-",Input!J153)),points11,2,))</f>
        <v>0</v>
      </c>
      <c r="Y153">
        <f>IF(ISNA(VLOOKUP((CONCATENATE("Speed Bounce-",I153,"-",Input!K153)),points11,2,)),0,VLOOKUP((CONCATENATE("Speed Bounce-",I153,"-",Input!K153)),points11,2,))</f>
        <v>0</v>
      </c>
      <c r="Z153">
        <f>IF(ISNA(VLOOKUP((CONCATENATE("Target Throw-",I153,"-",Input!L153)),points11,2,)),0,VLOOKUP((CONCATENATE("Target Throw-",I153,"-",Input!L153)),points11,2,))</f>
        <v>0</v>
      </c>
      <c r="AA153">
        <f>IF(ISNA(VLOOKUP((CONCATENATE("Hi-Stepper-",I153,"-",Input!M153)),points11,2,)),0,VLOOKUP((CONCATENATE("Hi-Stepper-",I153,"-",Input!M153)),points11,2,))</f>
        <v>0</v>
      </c>
      <c r="AB153">
        <f>IF(ISNA(VLOOKUP((CONCATENATE("Chest Push-",I153,"-",Input!N153)),points11,2,)),0,VLOOKUP((CONCATENATE("Chest Push-",I153,"-",Input!N153)),points11,2,))</f>
        <v>0</v>
      </c>
      <c r="AC153">
        <f>IF(ISNA(VLOOKUP((CONCATENATE("Javelin Throw-",I153,"-",Input!O153)),points11,2,)),0,VLOOKUP((CONCATENATE("Javelin Throw-",I153,"-",Input!O153)),points11,2,))</f>
        <v>0</v>
      </c>
      <c r="AD153">
        <f t="shared" si="31"/>
        <v>0</v>
      </c>
      <c r="AE153" t="str">
        <f t="shared" si="32"/>
        <v xml:space="preserve"> </v>
      </c>
      <c r="AF153">
        <f t="shared" si="33"/>
        <v>0</v>
      </c>
    </row>
    <row r="154" spans="2:32" ht="15" thickBot="1" x14ac:dyDescent="0.4">
      <c r="B154" s="631"/>
      <c r="C154" s="520">
        <v>12</v>
      </c>
      <c r="D154" s="289">
        <v>12</v>
      </c>
      <c r="E154" s="428"/>
      <c r="F154" s="400"/>
      <c r="G154" s="429"/>
      <c r="H154" s="429"/>
      <c r="I154" s="429"/>
      <c r="J154" s="430"/>
      <c r="K154" s="429"/>
      <c r="L154" s="429"/>
      <c r="M154" s="429"/>
      <c r="N154" s="429"/>
      <c r="O154" s="504"/>
      <c r="P154" s="512">
        <f t="shared" si="23"/>
        <v>0</v>
      </c>
      <c r="Q154" s="451">
        <f t="shared" si="24"/>
        <v>0</v>
      </c>
      <c r="R154" s="451">
        <f t="shared" si="25"/>
        <v>0</v>
      </c>
      <c r="S154" s="451">
        <f t="shared" si="26"/>
        <v>0</v>
      </c>
      <c r="T154" s="451">
        <f t="shared" si="27"/>
        <v>0</v>
      </c>
      <c r="U154" s="451">
        <f t="shared" si="28"/>
        <v>0</v>
      </c>
      <c r="V154" s="451">
        <f t="shared" si="29"/>
        <v>0</v>
      </c>
      <c r="W154" s="452">
        <f t="shared" si="30"/>
        <v>0</v>
      </c>
      <c r="X154">
        <f>IF(ISNA(VLOOKUP((CONCATENATE("Standing Long Jump-",I154,"-",Input!J154)),points11,2,)),0,VLOOKUP((CONCATENATE("Standing Long Jump-",I154,"-",Input!J154)),points11,2,))</f>
        <v>0</v>
      </c>
      <c r="Y154">
        <f>IF(ISNA(VLOOKUP((CONCATENATE("Speed Bounce-",I154,"-",Input!K154)),points11,2,)),0,VLOOKUP((CONCATENATE("Speed Bounce-",I154,"-",Input!K154)),points11,2,))</f>
        <v>0</v>
      </c>
      <c r="Z154">
        <f>IF(ISNA(VLOOKUP((CONCATENATE("Target Throw-",I154,"-",Input!L154)),points11,2,)),0,VLOOKUP((CONCATENATE("Target Throw-",I154,"-",Input!L154)),points11,2,))</f>
        <v>0</v>
      </c>
      <c r="AA154">
        <f>IF(ISNA(VLOOKUP((CONCATENATE("Hi-Stepper-",I154,"-",Input!M154)),points11,2,)),0,VLOOKUP((CONCATENATE("Hi-Stepper-",I154,"-",Input!M154)),points11,2,))</f>
        <v>0</v>
      </c>
      <c r="AB154">
        <f>IF(ISNA(VLOOKUP((CONCATENATE("Chest Push-",I154,"-",Input!N154)),points11,2,)),0,VLOOKUP((CONCATENATE("Chest Push-",I154,"-",Input!N154)),points11,2,))</f>
        <v>0</v>
      </c>
      <c r="AC154">
        <f>IF(ISNA(VLOOKUP((CONCATENATE("Javelin Throw-",I154,"-",Input!O154)),points11,2,)),0,VLOOKUP((CONCATENATE("Javelin Throw-",I154,"-",Input!O154)),points11,2,))</f>
        <v>0</v>
      </c>
      <c r="AD154">
        <f t="shared" si="31"/>
        <v>0</v>
      </c>
      <c r="AE154" t="str">
        <f t="shared" si="32"/>
        <v xml:space="preserve"> </v>
      </c>
      <c r="AF154">
        <f t="shared" si="33"/>
        <v>0</v>
      </c>
    </row>
    <row r="155" spans="2:32" ht="15" thickBot="1" x14ac:dyDescent="0.4">
      <c r="B155" s="631" t="str">
        <f>'Competition Menu'!E13</f>
        <v>Team 13</v>
      </c>
      <c r="C155" s="520">
        <v>1</v>
      </c>
      <c r="D155" s="289">
        <v>13</v>
      </c>
      <c r="E155" s="479"/>
      <c r="F155" s="357"/>
      <c r="G155" s="480"/>
      <c r="H155" s="480"/>
      <c r="I155" s="480"/>
      <c r="J155" s="481"/>
      <c r="K155" s="480"/>
      <c r="L155" s="480"/>
      <c r="M155" s="480"/>
      <c r="N155" s="480"/>
      <c r="O155" s="505"/>
      <c r="P155" s="513">
        <f t="shared" si="23"/>
        <v>0</v>
      </c>
      <c r="Q155" s="453">
        <f t="shared" si="24"/>
        <v>0</v>
      </c>
      <c r="R155" s="453">
        <f t="shared" si="25"/>
        <v>0</v>
      </c>
      <c r="S155" s="453">
        <f t="shared" si="26"/>
        <v>0</v>
      </c>
      <c r="T155" s="453">
        <f t="shared" si="27"/>
        <v>0</v>
      </c>
      <c r="U155" s="453">
        <f t="shared" si="28"/>
        <v>0</v>
      </c>
      <c r="V155" s="453">
        <f t="shared" si="29"/>
        <v>0</v>
      </c>
      <c r="W155" s="454">
        <f t="shared" si="30"/>
        <v>0</v>
      </c>
      <c r="X155">
        <f>IF(ISNA(VLOOKUP((CONCATENATE("Standing Long Jump-",I155,"-",Input!J155)),points11,2,)),0,VLOOKUP((CONCATENATE("Standing Long Jump-",I155,"-",Input!J155)),points11,2,))</f>
        <v>0</v>
      </c>
      <c r="Y155">
        <f>IF(ISNA(VLOOKUP((CONCATENATE("Speed Bounce-",I155,"-",Input!K155)),points11,2,)),0,VLOOKUP((CONCATENATE("Speed Bounce-",I155,"-",Input!K155)),points11,2,))</f>
        <v>0</v>
      </c>
      <c r="Z155">
        <f>IF(ISNA(VLOOKUP((CONCATENATE("Target Throw-",I155,"-",Input!L155)),points11,2,)),0,VLOOKUP((CONCATENATE("Target Throw-",I155,"-",Input!L155)),points11,2,))</f>
        <v>0</v>
      </c>
      <c r="AA155">
        <f>IF(ISNA(VLOOKUP((CONCATENATE("Hi-Stepper-",I155,"-",Input!M155)),points11,2,)),0,VLOOKUP((CONCATENATE("Hi-Stepper-",I155,"-",Input!M155)),points11,2,))</f>
        <v>0</v>
      </c>
      <c r="AB155">
        <f>IF(ISNA(VLOOKUP((CONCATENATE("Chest Push-",I155,"-",Input!N155)),points11,2,)),0,VLOOKUP((CONCATENATE("Chest Push-",I155,"-",Input!N155)),points11,2,))</f>
        <v>0</v>
      </c>
      <c r="AC155">
        <f>IF(ISNA(VLOOKUP((CONCATENATE("Javelin Throw-",I155,"-",Input!O155)),points11,2,)),0,VLOOKUP((CONCATENATE("Javelin Throw-",I155,"-",Input!O155)),points11,2,))</f>
        <v>0</v>
      </c>
      <c r="AD155">
        <f t="shared" si="31"/>
        <v>0</v>
      </c>
      <c r="AE155" t="str">
        <f t="shared" si="32"/>
        <v xml:space="preserve"> </v>
      </c>
      <c r="AF155">
        <f t="shared" si="33"/>
        <v>0</v>
      </c>
    </row>
    <row r="156" spans="2:32" ht="15" thickBot="1" x14ac:dyDescent="0.4">
      <c r="B156" s="631"/>
      <c r="C156" s="520">
        <v>2</v>
      </c>
      <c r="D156" s="289">
        <v>13</v>
      </c>
      <c r="E156" s="387"/>
      <c r="F156" s="362"/>
      <c r="G156" s="388"/>
      <c r="H156" s="388"/>
      <c r="I156" s="388"/>
      <c r="J156" s="393"/>
      <c r="K156" s="388"/>
      <c r="L156" s="388"/>
      <c r="M156" s="388"/>
      <c r="N156" s="388"/>
      <c r="O156" s="503"/>
      <c r="P156" s="509">
        <f t="shared" si="23"/>
        <v>0</v>
      </c>
      <c r="Q156" s="445">
        <f t="shared" si="24"/>
        <v>0</v>
      </c>
      <c r="R156" s="445">
        <f t="shared" si="25"/>
        <v>0</v>
      </c>
      <c r="S156" s="445">
        <f t="shared" si="26"/>
        <v>0</v>
      </c>
      <c r="T156" s="445">
        <f t="shared" si="27"/>
        <v>0</v>
      </c>
      <c r="U156" s="445">
        <f t="shared" si="28"/>
        <v>0</v>
      </c>
      <c r="V156" s="445">
        <f t="shared" si="29"/>
        <v>0</v>
      </c>
      <c r="W156" s="446">
        <f t="shared" si="30"/>
        <v>0</v>
      </c>
      <c r="X156">
        <f>IF(ISNA(VLOOKUP((CONCATENATE("Standing Long Jump-",I156,"-",Input!J156)),points11,2,)),0,VLOOKUP((CONCATENATE("Standing Long Jump-",I156,"-",Input!J156)),points11,2,))</f>
        <v>0</v>
      </c>
      <c r="Y156">
        <f>IF(ISNA(VLOOKUP((CONCATENATE("Speed Bounce-",I156,"-",Input!K156)),points11,2,)),0,VLOOKUP((CONCATENATE("Speed Bounce-",I156,"-",Input!K156)),points11,2,))</f>
        <v>0</v>
      </c>
      <c r="Z156">
        <f>IF(ISNA(VLOOKUP((CONCATENATE("Target Throw-",I156,"-",Input!L156)),points11,2,)),0,VLOOKUP((CONCATENATE("Target Throw-",I156,"-",Input!L156)),points11,2,))</f>
        <v>0</v>
      </c>
      <c r="AA156">
        <f>IF(ISNA(VLOOKUP((CONCATENATE("Hi-Stepper-",I156,"-",Input!M156)),points11,2,)),0,VLOOKUP((CONCATENATE("Hi-Stepper-",I156,"-",Input!M156)),points11,2,))</f>
        <v>0</v>
      </c>
      <c r="AB156">
        <f>IF(ISNA(VLOOKUP((CONCATENATE("Chest Push-",I156,"-",Input!N156)),points11,2,)),0,VLOOKUP((CONCATENATE("Chest Push-",I156,"-",Input!N156)),points11,2,))</f>
        <v>0</v>
      </c>
      <c r="AC156">
        <f>IF(ISNA(VLOOKUP((CONCATENATE("Javelin Throw-",I156,"-",Input!O156)),points11,2,)),0,VLOOKUP((CONCATENATE("Javelin Throw-",I156,"-",Input!O156)),points11,2,))</f>
        <v>0</v>
      </c>
      <c r="AD156">
        <f t="shared" si="31"/>
        <v>0</v>
      </c>
      <c r="AE156" t="str">
        <f t="shared" si="32"/>
        <v xml:space="preserve"> </v>
      </c>
      <c r="AF156">
        <f t="shared" si="33"/>
        <v>0</v>
      </c>
    </row>
    <row r="157" spans="2:32" ht="15" thickBot="1" x14ac:dyDescent="0.4">
      <c r="B157" s="631"/>
      <c r="C157" s="520">
        <v>3</v>
      </c>
      <c r="D157" s="289">
        <v>13</v>
      </c>
      <c r="E157" s="387"/>
      <c r="F157" s="362"/>
      <c r="G157" s="388"/>
      <c r="H157" s="388"/>
      <c r="I157" s="388"/>
      <c r="J157" s="393"/>
      <c r="K157" s="388"/>
      <c r="L157" s="388"/>
      <c r="M157" s="388"/>
      <c r="N157" s="388"/>
      <c r="O157" s="503"/>
      <c r="P157" s="509">
        <f t="shared" si="23"/>
        <v>0</v>
      </c>
      <c r="Q157" s="445">
        <f t="shared" si="24"/>
        <v>0</v>
      </c>
      <c r="R157" s="445">
        <f t="shared" si="25"/>
        <v>0</v>
      </c>
      <c r="S157" s="445">
        <f t="shared" si="26"/>
        <v>0</v>
      </c>
      <c r="T157" s="445">
        <f t="shared" si="27"/>
        <v>0</v>
      </c>
      <c r="U157" s="445">
        <f t="shared" si="28"/>
        <v>0</v>
      </c>
      <c r="V157" s="445">
        <f t="shared" si="29"/>
        <v>0</v>
      </c>
      <c r="W157" s="446">
        <f t="shared" si="30"/>
        <v>0</v>
      </c>
      <c r="X157">
        <f>IF(ISNA(VLOOKUP((CONCATENATE("Standing Long Jump-",I157,"-",Input!J157)),points11,2,)),0,VLOOKUP((CONCATENATE("Standing Long Jump-",I157,"-",Input!J157)),points11,2,))</f>
        <v>0</v>
      </c>
      <c r="Y157">
        <f>IF(ISNA(VLOOKUP((CONCATENATE("Speed Bounce-",I157,"-",Input!K157)),points11,2,)),0,VLOOKUP((CONCATENATE("Speed Bounce-",I157,"-",Input!K157)),points11,2,))</f>
        <v>0</v>
      </c>
      <c r="Z157">
        <f>IF(ISNA(VLOOKUP((CONCATENATE("Target Throw-",I157,"-",Input!L157)),points11,2,)),0,VLOOKUP((CONCATENATE("Target Throw-",I157,"-",Input!L157)),points11,2,))</f>
        <v>0</v>
      </c>
      <c r="AA157">
        <f>IF(ISNA(VLOOKUP((CONCATENATE("Hi-Stepper-",I157,"-",Input!M157)),points11,2,)),0,VLOOKUP((CONCATENATE("Hi-Stepper-",I157,"-",Input!M157)),points11,2,))</f>
        <v>0</v>
      </c>
      <c r="AB157">
        <f>IF(ISNA(VLOOKUP((CONCATENATE("Chest Push-",I157,"-",Input!N157)),points11,2,)),0,VLOOKUP((CONCATENATE("Chest Push-",I157,"-",Input!N157)),points11,2,))</f>
        <v>0</v>
      </c>
      <c r="AC157">
        <f>IF(ISNA(VLOOKUP((CONCATENATE("Javelin Throw-",I157,"-",Input!O157)),points11,2,)),0,VLOOKUP((CONCATENATE("Javelin Throw-",I157,"-",Input!O157)),points11,2,))</f>
        <v>0</v>
      </c>
      <c r="AD157">
        <f t="shared" si="31"/>
        <v>0</v>
      </c>
      <c r="AE157" t="str">
        <f t="shared" si="32"/>
        <v xml:space="preserve"> </v>
      </c>
      <c r="AF157">
        <f t="shared" si="33"/>
        <v>0</v>
      </c>
    </row>
    <row r="158" spans="2:32" ht="15" thickBot="1" x14ac:dyDescent="0.4">
      <c r="B158" s="631"/>
      <c r="C158" s="520">
        <v>4</v>
      </c>
      <c r="D158" s="289">
        <v>13</v>
      </c>
      <c r="E158" s="387"/>
      <c r="F158" s="362"/>
      <c r="G158" s="388"/>
      <c r="H158" s="388"/>
      <c r="I158" s="388"/>
      <c r="J158" s="393"/>
      <c r="K158" s="388"/>
      <c r="L158" s="388"/>
      <c r="M158" s="388"/>
      <c r="N158" s="388"/>
      <c r="O158" s="503"/>
      <c r="P158" s="509">
        <f t="shared" si="23"/>
        <v>0</v>
      </c>
      <c r="Q158" s="445">
        <f t="shared" si="24"/>
        <v>0</v>
      </c>
      <c r="R158" s="445">
        <f t="shared" si="25"/>
        <v>0</v>
      </c>
      <c r="S158" s="445">
        <f t="shared" si="26"/>
        <v>0</v>
      </c>
      <c r="T158" s="445">
        <f t="shared" si="27"/>
        <v>0</v>
      </c>
      <c r="U158" s="445">
        <f t="shared" si="28"/>
        <v>0</v>
      </c>
      <c r="V158" s="445">
        <f t="shared" si="29"/>
        <v>0</v>
      </c>
      <c r="W158" s="446">
        <f t="shared" si="30"/>
        <v>0</v>
      </c>
      <c r="X158">
        <f>IF(ISNA(VLOOKUP((CONCATENATE("Standing Long Jump-",I158,"-",Input!J158)),points11,2,)),0,VLOOKUP((CONCATENATE("Standing Long Jump-",I158,"-",Input!J158)),points11,2,))</f>
        <v>0</v>
      </c>
      <c r="Y158">
        <f>IF(ISNA(VLOOKUP((CONCATENATE("Speed Bounce-",I158,"-",Input!K158)),points11,2,)),0,VLOOKUP((CONCATENATE("Speed Bounce-",I158,"-",Input!K158)),points11,2,))</f>
        <v>0</v>
      </c>
      <c r="Z158">
        <f>IF(ISNA(VLOOKUP((CONCATENATE("Target Throw-",I158,"-",Input!L158)),points11,2,)),0,VLOOKUP((CONCATENATE("Target Throw-",I158,"-",Input!L158)),points11,2,))</f>
        <v>0</v>
      </c>
      <c r="AA158">
        <f>IF(ISNA(VLOOKUP((CONCATENATE("Hi-Stepper-",I158,"-",Input!M158)),points11,2,)),0,VLOOKUP((CONCATENATE("Hi-Stepper-",I158,"-",Input!M158)),points11,2,))</f>
        <v>0</v>
      </c>
      <c r="AB158">
        <f>IF(ISNA(VLOOKUP((CONCATENATE("Chest Push-",I158,"-",Input!N158)),points11,2,)),0,VLOOKUP((CONCATENATE("Chest Push-",I158,"-",Input!N158)),points11,2,))</f>
        <v>0</v>
      </c>
      <c r="AC158">
        <f>IF(ISNA(VLOOKUP((CONCATENATE("Javelin Throw-",I158,"-",Input!O158)),points11,2,)),0,VLOOKUP((CONCATENATE("Javelin Throw-",I158,"-",Input!O158)),points11,2,))</f>
        <v>0</v>
      </c>
      <c r="AD158">
        <f t="shared" si="31"/>
        <v>0</v>
      </c>
      <c r="AE158" t="str">
        <f t="shared" si="32"/>
        <v xml:space="preserve"> </v>
      </c>
      <c r="AF158">
        <f t="shared" si="33"/>
        <v>0</v>
      </c>
    </row>
    <row r="159" spans="2:32" ht="15" thickBot="1" x14ac:dyDescent="0.4">
      <c r="B159" s="631"/>
      <c r="C159" s="520">
        <v>5</v>
      </c>
      <c r="D159" s="289">
        <v>13</v>
      </c>
      <c r="E159" s="387"/>
      <c r="F159" s="362"/>
      <c r="G159" s="388"/>
      <c r="H159" s="388"/>
      <c r="I159" s="388"/>
      <c r="J159" s="393"/>
      <c r="K159" s="388"/>
      <c r="L159" s="388"/>
      <c r="M159" s="388"/>
      <c r="N159" s="388"/>
      <c r="O159" s="503"/>
      <c r="P159" s="509">
        <f t="shared" si="23"/>
        <v>0</v>
      </c>
      <c r="Q159" s="445">
        <f t="shared" si="24"/>
        <v>0</v>
      </c>
      <c r="R159" s="445">
        <f t="shared" si="25"/>
        <v>0</v>
      </c>
      <c r="S159" s="445">
        <f t="shared" si="26"/>
        <v>0</v>
      </c>
      <c r="T159" s="445">
        <f t="shared" si="27"/>
        <v>0</v>
      </c>
      <c r="U159" s="445">
        <f t="shared" si="28"/>
        <v>0</v>
      </c>
      <c r="V159" s="445">
        <f t="shared" si="29"/>
        <v>0</v>
      </c>
      <c r="W159" s="446">
        <f t="shared" si="30"/>
        <v>0</v>
      </c>
      <c r="X159">
        <f>IF(ISNA(VLOOKUP((CONCATENATE("Standing Long Jump-",I159,"-",Input!J159)),points11,2,)),0,VLOOKUP((CONCATENATE("Standing Long Jump-",I159,"-",Input!J159)),points11,2,))</f>
        <v>0</v>
      </c>
      <c r="Y159">
        <f>IF(ISNA(VLOOKUP((CONCATENATE("Speed Bounce-",I159,"-",Input!K159)),points11,2,)),0,VLOOKUP((CONCATENATE("Speed Bounce-",I159,"-",Input!K159)),points11,2,))</f>
        <v>0</v>
      </c>
      <c r="Z159">
        <f>IF(ISNA(VLOOKUP((CONCATENATE("Target Throw-",I159,"-",Input!L159)),points11,2,)),0,VLOOKUP((CONCATENATE("Target Throw-",I159,"-",Input!L159)),points11,2,))</f>
        <v>0</v>
      </c>
      <c r="AA159">
        <f>IF(ISNA(VLOOKUP((CONCATENATE("Hi-Stepper-",I159,"-",Input!M159)),points11,2,)),0,VLOOKUP((CONCATENATE("Hi-Stepper-",I159,"-",Input!M159)),points11,2,))</f>
        <v>0</v>
      </c>
      <c r="AB159">
        <f>IF(ISNA(VLOOKUP((CONCATENATE("Chest Push-",I159,"-",Input!N159)),points11,2,)),0,VLOOKUP((CONCATENATE("Chest Push-",I159,"-",Input!N159)),points11,2,))</f>
        <v>0</v>
      </c>
      <c r="AC159">
        <f>IF(ISNA(VLOOKUP((CONCATENATE("Javelin Throw-",I159,"-",Input!O159)),points11,2,)),0,VLOOKUP((CONCATENATE("Javelin Throw-",I159,"-",Input!O159)),points11,2,))</f>
        <v>0</v>
      </c>
      <c r="AD159">
        <f t="shared" si="31"/>
        <v>0</v>
      </c>
      <c r="AE159" t="str">
        <f t="shared" si="32"/>
        <v xml:space="preserve"> </v>
      </c>
      <c r="AF159">
        <f t="shared" si="33"/>
        <v>0</v>
      </c>
    </row>
    <row r="160" spans="2:32" ht="15" thickBot="1" x14ac:dyDescent="0.4">
      <c r="B160" s="631"/>
      <c r="C160" s="520">
        <v>6</v>
      </c>
      <c r="D160" s="289">
        <v>13</v>
      </c>
      <c r="E160" s="387"/>
      <c r="F160" s="362"/>
      <c r="G160" s="388"/>
      <c r="H160" s="388"/>
      <c r="I160" s="388"/>
      <c r="J160" s="393"/>
      <c r="K160" s="388"/>
      <c r="L160" s="388"/>
      <c r="M160" s="388"/>
      <c r="N160" s="388"/>
      <c r="O160" s="503"/>
      <c r="P160" s="509">
        <f t="shared" si="23"/>
        <v>0</v>
      </c>
      <c r="Q160" s="445">
        <f t="shared" si="24"/>
        <v>0</v>
      </c>
      <c r="R160" s="445">
        <f t="shared" si="25"/>
        <v>0</v>
      </c>
      <c r="S160" s="445">
        <f t="shared" si="26"/>
        <v>0</v>
      </c>
      <c r="T160" s="445">
        <f t="shared" si="27"/>
        <v>0</v>
      </c>
      <c r="U160" s="445">
        <f t="shared" si="28"/>
        <v>0</v>
      </c>
      <c r="V160" s="445">
        <f t="shared" si="29"/>
        <v>0</v>
      </c>
      <c r="W160" s="446">
        <f t="shared" si="30"/>
        <v>0</v>
      </c>
      <c r="X160">
        <f>IF(ISNA(VLOOKUP((CONCATENATE("Standing Long Jump-",I160,"-",Input!J160)),points11,2,)),0,VLOOKUP((CONCATENATE("Standing Long Jump-",I160,"-",Input!J160)),points11,2,))</f>
        <v>0</v>
      </c>
      <c r="Y160">
        <f>IF(ISNA(VLOOKUP((CONCATENATE("Speed Bounce-",I160,"-",Input!K160)),points11,2,)),0,VLOOKUP((CONCATENATE("Speed Bounce-",I160,"-",Input!K160)),points11,2,))</f>
        <v>0</v>
      </c>
      <c r="Z160">
        <f>IF(ISNA(VLOOKUP((CONCATENATE("Target Throw-",I160,"-",Input!L160)),points11,2,)),0,VLOOKUP((CONCATENATE("Target Throw-",I160,"-",Input!L160)),points11,2,))</f>
        <v>0</v>
      </c>
      <c r="AA160">
        <f>IF(ISNA(VLOOKUP((CONCATENATE("Hi-Stepper-",I160,"-",Input!M160)),points11,2,)),0,VLOOKUP((CONCATENATE("Hi-Stepper-",I160,"-",Input!M160)),points11,2,))</f>
        <v>0</v>
      </c>
      <c r="AB160">
        <f>IF(ISNA(VLOOKUP((CONCATENATE("Chest Push-",I160,"-",Input!N160)),points11,2,)),0,VLOOKUP((CONCATENATE("Chest Push-",I160,"-",Input!N160)),points11,2,))</f>
        <v>0</v>
      </c>
      <c r="AC160">
        <f>IF(ISNA(VLOOKUP((CONCATENATE("Javelin Throw-",I160,"-",Input!O160)),points11,2,)),0,VLOOKUP((CONCATENATE("Javelin Throw-",I160,"-",Input!O160)),points11,2,))</f>
        <v>0</v>
      </c>
      <c r="AD160">
        <f t="shared" si="31"/>
        <v>0</v>
      </c>
      <c r="AE160" t="str">
        <f t="shared" si="32"/>
        <v xml:space="preserve"> </v>
      </c>
      <c r="AF160">
        <f t="shared" si="33"/>
        <v>0</v>
      </c>
    </row>
    <row r="161" spans="2:32" ht="15" thickBot="1" x14ac:dyDescent="0.4">
      <c r="B161" s="631"/>
      <c r="C161" s="520">
        <v>7</v>
      </c>
      <c r="D161" s="289">
        <v>13</v>
      </c>
      <c r="E161" s="387"/>
      <c r="F161" s="362"/>
      <c r="G161" s="388"/>
      <c r="H161" s="388"/>
      <c r="I161" s="388"/>
      <c r="J161" s="393"/>
      <c r="K161" s="388"/>
      <c r="L161" s="388"/>
      <c r="M161" s="388"/>
      <c r="N161" s="388"/>
      <c r="O161" s="503"/>
      <c r="P161" s="509">
        <f t="shared" si="23"/>
        <v>0</v>
      </c>
      <c r="Q161" s="445">
        <f t="shared" si="24"/>
        <v>0</v>
      </c>
      <c r="R161" s="445">
        <f t="shared" si="25"/>
        <v>0</v>
      </c>
      <c r="S161" s="445">
        <f t="shared" si="26"/>
        <v>0</v>
      </c>
      <c r="T161" s="445">
        <f t="shared" si="27"/>
        <v>0</v>
      </c>
      <c r="U161" s="445">
        <f t="shared" si="28"/>
        <v>0</v>
      </c>
      <c r="V161" s="445">
        <f t="shared" si="29"/>
        <v>0</v>
      </c>
      <c r="W161" s="446">
        <f t="shared" si="30"/>
        <v>0</v>
      </c>
      <c r="X161">
        <f>IF(ISNA(VLOOKUP((CONCATENATE("Standing Long Jump-",I161,"-",Input!J161)),points11,2,)),0,VLOOKUP((CONCATENATE("Standing Long Jump-",I161,"-",Input!J161)),points11,2,))</f>
        <v>0</v>
      </c>
      <c r="Y161">
        <f>IF(ISNA(VLOOKUP((CONCATENATE("Speed Bounce-",I161,"-",Input!K161)),points11,2,)),0,VLOOKUP((CONCATENATE("Speed Bounce-",I161,"-",Input!K161)),points11,2,))</f>
        <v>0</v>
      </c>
      <c r="Z161">
        <f>IF(ISNA(VLOOKUP((CONCATENATE("Target Throw-",I161,"-",Input!L161)),points11,2,)),0,VLOOKUP((CONCATENATE("Target Throw-",I161,"-",Input!L161)),points11,2,))</f>
        <v>0</v>
      </c>
      <c r="AA161">
        <f>IF(ISNA(VLOOKUP((CONCATENATE("Hi-Stepper-",I161,"-",Input!M161)),points11,2,)),0,VLOOKUP((CONCATENATE("Hi-Stepper-",I161,"-",Input!M161)),points11,2,))</f>
        <v>0</v>
      </c>
      <c r="AB161">
        <f>IF(ISNA(VLOOKUP((CONCATENATE("Chest Push-",I161,"-",Input!N161)),points11,2,)),0,VLOOKUP((CONCATENATE("Chest Push-",I161,"-",Input!N161)),points11,2,))</f>
        <v>0</v>
      </c>
      <c r="AC161">
        <f>IF(ISNA(VLOOKUP((CONCATENATE("Javelin Throw-",I161,"-",Input!O161)),points11,2,)),0,VLOOKUP((CONCATENATE("Javelin Throw-",I161,"-",Input!O161)),points11,2,))</f>
        <v>0</v>
      </c>
      <c r="AD161">
        <f t="shared" si="31"/>
        <v>0</v>
      </c>
      <c r="AE161" t="str">
        <f t="shared" si="32"/>
        <v xml:space="preserve"> </v>
      </c>
      <c r="AF161">
        <f t="shared" si="33"/>
        <v>0</v>
      </c>
    </row>
    <row r="162" spans="2:32" ht="15" thickBot="1" x14ac:dyDescent="0.4">
      <c r="B162" s="631"/>
      <c r="C162" s="520">
        <v>8</v>
      </c>
      <c r="D162" s="289">
        <v>13</v>
      </c>
      <c r="E162" s="387"/>
      <c r="F162" s="362"/>
      <c r="G162" s="388"/>
      <c r="H162" s="388"/>
      <c r="I162" s="388"/>
      <c r="J162" s="393"/>
      <c r="K162" s="388"/>
      <c r="L162" s="388"/>
      <c r="M162" s="388"/>
      <c r="N162" s="388"/>
      <c r="O162" s="503"/>
      <c r="P162" s="509">
        <f t="shared" si="23"/>
        <v>0</v>
      </c>
      <c r="Q162" s="445">
        <f t="shared" si="24"/>
        <v>0</v>
      </c>
      <c r="R162" s="445">
        <f t="shared" si="25"/>
        <v>0</v>
      </c>
      <c r="S162" s="445">
        <f t="shared" si="26"/>
        <v>0</v>
      </c>
      <c r="T162" s="445">
        <f t="shared" si="27"/>
        <v>0</v>
      </c>
      <c r="U162" s="445">
        <f t="shared" si="28"/>
        <v>0</v>
      </c>
      <c r="V162" s="445">
        <f t="shared" si="29"/>
        <v>0</v>
      </c>
      <c r="W162" s="446">
        <f t="shared" si="30"/>
        <v>0</v>
      </c>
      <c r="X162">
        <f>IF(ISNA(VLOOKUP((CONCATENATE("Standing Long Jump-",I162,"-",Input!J162)),points11,2,)),0,VLOOKUP((CONCATENATE("Standing Long Jump-",I162,"-",Input!J162)),points11,2,))</f>
        <v>0</v>
      </c>
      <c r="Y162">
        <f>IF(ISNA(VLOOKUP((CONCATENATE("Speed Bounce-",I162,"-",Input!K162)),points11,2,)),0,VLOOKUP((CONCATENATE("Speed Bounce-",I162,"-",Input!K162)),points11,2,))</f>
        <v>0</v>
      </c>
      <c r="Z162">
        <f>IF(ISNA(VLOOKUP((CONCATENATE("Target Throw-",I162,"-",Input!L162)),points11,2,)),0,VLOOKUP((CONCATENATE("Target Throw-",I162,"-",Input!L162)),points11,2,))</f>
        <v>0</v>
      </c>
      <c r="AA162">
        <f>IF(ISNA(VLOOKUP((CONCATENATE("Hi-Stepper-",I162,"-",Input!M162)),points11,2,)),0,VLOOKUP((CONCATENATE("Hi-Stepper-",I162,"-",Input!M162)),points11,2,))</f>
        <v>0</v>
      </c>
      <c r="AB162">
        <f>IF(ISNA(VLOOKUP((CONCATENATE("Chest Push-",I162,"-",Input!N162)),points11,2,)),0,VLOOKUP((CONCATENATE("Chest Push-",I162,"-",Input!N162)),points11,2,))</f>
        <v>0</v>
      </c>
      <c r="AC162">
        <f>IF(ISNA(VLOOKUP((CONCATENATE("Javelin Throw-",I162,"-",Input!O162)),points11,2,)),0,VLOOKUP((CONCATENATE("Javelin Throw-",I162,"-",Input!O162)),points11,2,))</f>
        <v>0</v>
      </c>
      <c r="AD162">
        <f t="shared" si="31"/>
        <v>0</v>
      </c>
      <c r="AE162" t="str">
        <f t="shared" si="32"/>
        <v xml:space="preserve"> </v>
      </c>
      <c r="AF162">
        <f t="shared" si="33"/>
        <v>0</v>
      </c>
    </row>
    <row r="163" spans="2:32" ht="15" thickBot="1" x14ac:dyDescent="0.4">
      <c r="B163" s="631"/>
      <c r="C163" s="520">
        <v>9</v>
      </c>
      <c r="D163" s="289">
        <v>13</v>
      </c>
      <c r="E163" s="387"/>
      <c r="F163" s="362"/>
      <c r="G163" s="388"/>
      <c r="H163" s="388"/>
      <c r="I163" s="388"/>
      <c r="J163" s="393"/>
      <c r="K163" s="388"/>
      <c r="L163" s="388"/>
      <c r="M163" s="388"/>
      <c r="N163" s="388"/>
      <c r="O163" s="503"/>
      <c r="P163" s="509">
        <f t="shared" si="23"/>
        <v>0</v>
      </c>
      <c r="Q163" s="445">
        <f t="shared" si="24"/>
        <v>0</v>
      </c>
      <c r="R163" s="445">
        <f t="shared" si="25"/>
        <v>0</v>
      </c>
      <c r="S163" s="445">
        <f t="shared" si="26"/>
        <v>0</v>
      </c>
      <c r="T163" s="445">
        <f t="shared" si="27"/>
        <v>0</v>
      </c>
      <c r="U163" s="445">
        <f t="shared" si="28"/>
        <v>0</v>
      </c>
      <c r="V163" s="445">
        <f t="shared" si="29"/>
        <v>0</v>
      </c>
      <c r="W163" s="446">
        <f t="shared" si="30"/>
        <v>0</v>
      </c>
      <c r="X163">
        <f>IF(ISNA(VLOOKUP((CONCATENATE("Standing Long Jump-",I163,"-",Input!J163)),points11,2,)),0,VLOOKUP((CONCATENATE("Standing Long Jump-",I163,"-",Input!J163)),points11,2,))</f>
        <v>0</v>
      </c>
      <c r="Y163">
        <f>IF(ISNA(VLOOKUP((CONCATENATE("Speed Bounce-",I163,"-",Input!K163)),points11,2,)),0,VLOOKUP((CONCATENATE("Speed Bounce-",I163,"-",Input!K163)),points11,2,))</f>
        <v>0</v>
      </c>
      <c r="Z163">
        <f>IF(ISNA(VLOOKUP((CONCATENATE("Target Throw-",I163,"-",Input!L163)),points11,2,)),0,VLOOKUP((CONCATENATE("Target Throw-",I163,"-",Input!L163)),points11,2,))</f>
        <v>0</v>
      </c>
      <c r="AA163">
        <f>IF(ISNA(VLOOKUP((CONCATENATE("Hi-Stepper-",I163,"-",Input!M163)),points11,2,)),0,VLOOKUP((CONCATENATE("Hi-Stepper-",I163,"-",Input!M163)),points11,2,))</f>
        <v>0</v>
      </c>
      <c r="AB163">
        <f>IF(ISNA(VLOOKUP((CONCATENATE("Chest Push-",I163,"-",Input!N163)),points11,2,)),0,VLOOKUP((CONCATENATE("Chest Push-",I163,"-",Input!N163)),points11,2,))</f>
        <v>0</v>
      </c>
      <c r="AC163">
        <f>IF(ISNA(VLOOKUP((CONCATENATE("Javelin Throw-",I163,"-",Input!O163)),points11,2,)),0,VLOOKUP((CONCATENATE("Javelin Throw-",I163,"-",Input!O163)),points11,2,))</f>
        <v>0</v>
      </c>
      <c r="AD163">
        <f t="shared" si="31"/>
        <v>0</v>
      </c>
      <c r="AE163" t="str">
        <f t="shared" si="32"/>
        <v xml:space="preserve"> </v>
      </c>
      <c r="AF163">
        <f t="shared" si="33"/>
        <v>0</v>
      </c>
    </row>
    <row r="164" spans="2:32" ht="15" thickBot="1" x14ac:dyDescent="0.4">
      <c r="B164" s="631"/>
      <c r="C164" s="520">
        <v>10</v>
      </c>
      <c r="D164" s="289">
        <v>13</v>
      </c>
      <c r="E164" s="387"/>
      <c r="F164" s="362"/>
      <c r="G164" s="388"/>
      <c r="H164" s="388"/>
      <c r="I164" s="388"/>
      <c r="J164" s="393"/>
      <c r="K164" s="388"/>
      <c r="L164" s="388"/>
      <c r="M164" s="388"/>
      <c r="N164" s="388"/>
      <c r="O164" s="503"/>
      <c r="P164" s="509">
        <f t="shared" si="23"/>
        <v>0</v>
      </c>
      <c r="Q164" s="445">
        <f t="shared" si="24"/>
        <v>0</v>
      </c>
      <c r="R164" s="445">
        <f t="shared" si="25"/>
        <v>0</v>
      </c>
      <c r="S164" s="445">
        <f t="shared" si="26"/>
        <v>0</v>
      </c>
      <c r="T164" s="445">
        <f t="shared" si="27"/>
        <v>0</v>
      </c>
      <c r="U164" s="445">
        <f t="shared" si="28"/>
        <v>0</v>
      </c>
      <c r="V164" s="445">
        <f t="shared" si="29"/>
        <v>0</v>
      </c>
      <c r="W164" s="446">
        <f t="shared" si="30"/>
        <v>0</v>
      </c>
      <c r="X164">
        <f>IF(ISNA(VLOOKUP((CONCATENATE("Standing Long Jump-",I164,"-",Input!J164)),points11,2,)),0,VLOOKUP((CONCATENATE("Standing Long Jump-",I164,"-",Input!J164)),points11,2,))</f>
        <v>0</v>
      </c>
      <c r="Y164">
        <f>IF(ISNA(VLOOKUP((CONCATENATE("Speed Bounce-",I164,"-",Input!K164)),points11,2,)),0,VLOOKUP((CONCATENATE("Speed Bounce-",I164,"-",Input!K164)),points11,2,))</f>
        <v>0</v>
      </c>
      <c r="Z164">
        <f>IF(ISNA(VLOOKUP((CONCATENATE("Target Throw-",I164,"-",Input!L164)),points11,2,)),0,VLOOKUP((CONCATENATE("Target Throw-",I164,"-",Input!L164)),points11,2,))</f>
        <v>0</v>
      </c>
      <c r="AA164">
        <f>IF(ISNA(VLOOKUP((CONCATENATE("Hi-Stepper-",I164,"-",Input!M164)),points11,2,)),0,VLOOKUP((CONCATENATE("Hi-Stepper-",I164,"-",Input!M164)),points11,2,))</f>
        <v>0</v>
      </c>
      <c r="AB164">
        <f>IF(ISNA(VLOOKUP((CONCATENATE("Chest Push-",I164,"-",Input!N164)),points11,2,)),0,VLOOKUP((CONCATENATE("Chest Push-",I164,"-",Input!N164)),points11,2,))</f>
        <v>0</v>
      </c>
      <c r="AC164">
        <f>IF(ISNA(VLOOKUP((CONCATENATE("Javelin Throw-",I164,"-",Input!O164)),points11,2,)),0,VLOOKUP((CONCATENATE("Javelin Throw-",I164,"-",Input!O164)),points11,2,))</f>
        <v>0</v>
      </c>
      <c r="AD164">
        <f t="shared" si="31"/>
        <v>0</v>
      </c>
      <c r="AE164" t="str">
        <f t="shared" si="32"/>
        <v xml:space="preserve"> </v>
      </c>
      <c r="AF164">
        <f t="shared" si="33"/>
        <v>0</v>
      </c>
    </row>
    <row r="165" spans="2:32" ht="15" thickBot="1" x14ac:dyDescent="0.4">
      <c r="B165" s="631"/>
      <c r="C165" s="520">
        <v>11</v>
      </c>
      <c r="D165" s="289">
        <v>13</v>
      </c>
      <c r="E165" s="387"/>
      <c r="F165" s="362"/>
      <c r="G165" s="388"/>
      <c r="H165" s="388"/>
      <c r="I165" s="388"/>
      <c r="J165" s="393"/>
      <c r="K165" s="388"/>
      <c r="L165" s="388"/>
      <c r="M165" s="388"/>
      <c r="N165" s="388"/>
      <c r="O165" s="503"/>
      <c r="P165" s="509">
        <f t="shared" si="23"/>
        <v>0</v>
      </c>
      <c r="Q165" s="445">
        <f t="shared" si="24"/>
        <v>0</v>
      </c>
      <c r="R165" s="445">
        <f t="shared" si="25"/>
        <v>0</v>
      </c>
      <c r="S165" s="445">
        <f t="shared" si="26"/>
        <v>0</v>
      </c>
      <c r="T165" s="445">
        <f t="shared" si="27"/>
        <v>0</v>
      </c>
      <c r="U165" s="445">
        <f t="shared" si="28"/>
        <v>0</v>
      </c>
      <c r="V165" s="445">
        <f t="shared" si="29"/>
        <v>0</v>
      </c>
      <c r="W165" s="446">
        <f t="shared" si="30"/>
        <v>0</v>
      </c>
      <c r="X165">
        <f>IF(ISNA(VLOOKUP((CONCATENATE("Standing Long Jump-",I165,"-",Input!J165)),points11,2,)),0,VLOOKUP((CONCATENATE("Standing Long Jump-",I165,"-",Input!J165)),points11,2,))</f>
        <v>0</v>
      </c>
      <c r="Y165">
        <f>IF(ISNA(VLOOKUP((CONCATENATE("Speed Bounce-",I165,"-",Input!K165)),points11,2,)),0,VLOOKUP((CONCATENATE("Speed Bounce-",I165,"-",Input!K165)),points11,2,))</f>
        <v>0</v>
      </c>
      <c r="Z165">
        <f>IF(ISNA(VLOOKUP((CONCATENATE("Target Throw-",I165,"-",Input!L165)),points11,2,)),0,VLOOKUP((CONCATENATE("Target Throw-",I165,"-",Input!L165)),points11,2,))</f>
        <v>0</v>
      </c>
      <c r="AA165">
        <f>IF(ISNA(VLOOKUP((CONCATENATE("Hi-Stepper-",I165,"-",Input!M165)),points11,2,)),0,VLOOKUP((CONCATENATE("Hi-Stepper-",I165,"-",Input!M165)),points11,2,))</f>
        <v>0</v>
      </c>
      <c r="AB165">
        <f>IF(ISNA(VLOOKUP((CONCATENATE("Chest Push-",I165,"-",Input!N165)),points11,2,)),0,VLOOKUP((CONCATENATE("Chest Push-",I165,"-",Input!N165)),points11,2,))</f>
        <v>0</v>
      </c>
      <c r="AC165">
        <f>IF(ISNA(VLOOKUP((CONCATENATE("Javelin Throw-",I165,"-",Input!O165)),points11,2,)),0,VLOOKUP((CONCATENATE("Javelin Throw-",I165,"-",Input!O165)),points11,2,))</f>
        <v>0</v>
      </c>
      <c r="AD165">
        <f t="shared" si="31"/>
        <v>0</v>
      </c>
      <c r="AE165" t="str">
        <f t="shared" si="32"/>
        <v xml:space="preserve"> </v>
      </c>
      <c r="AF165">
        <f t="shared" si="33"/>
        <v>0</v>
      </c>
    </row>
    <row r="166" spans="2:32" ht="15" thickBot="1" x14ac:dyDescent="0.4">
      <c r="B166" s="631"/>
      <c r="C166" s="520">
        <v>12</v>
      </c>
      <c r="D166" s="289">
        <v>13</v>
      </c>
      <c r="E166" s="394"/>
      <c r="F166" s="395"/>
      <c r="G166" s="396"/>
      <c r="H166" s="396"/>
      <c r="I166" s="396"/>
      <c r="J166" s="397"/>
      <c r="K166" s="396"/>
      <c r="L166" s="396"/>
      <c r="M166" s="396"/>
      <c r="N166" s="396"/>
      <c r="O166" s="506"/>
      <c r="P166" s="510">
        <f t="shared" si="23"/>
        <v>0</v>
      </c>
      <c r="Q166" s="447">
        <f t="shared" si="24"/>
        <v>0</v>
      </c>
      <c r="R166" s="447">
        <f t="shared" si="25"/>
        <v>0</v>
      </c>
      <c r="S166" s="447">
        <f t="shared" si="26"/>
        <v>0</v>
      </c>
      <c r="T166" s="447">
        <f t="shared" si="27"/>
        <v>0</v>
      </c>
      <c r="U166" s="447">
        <f t="shared" si="28"/>
        <v>0</v>
      </c>
      <c r="V166" s="447">
        <f t="shared" si="29"/>
        <v>0</v>
      </c>
      <c r="W166" s="448">
        <f t="shared" si="30"/>
        <v>0</v>
      </c>
      <c r="X166">
        <f>IF(ISNA(VLOOKUP((CONCATENATE("Standing Long Jump-",I166,"-",Input!J166)),points11,2,)),0,VLOOKUP((CONCATENATE("Standing Long Jump-",I166,"-",Input!J166)),points11,2,))</f>
        <v>0</v>
      </c>
      <c r="Y166">
        <f>IF(ISNA(VLOOKUP((CONCATENATE("Speed Bounce-",I166,"-",Input!K166)),points11,2,)),0,VLOOKUP((CONCATENATE("Speed Bounce-",I166,"-",Input!K166)),points11,2,))</f>
        <v>0</v>
      </c>
      <c r="Z166">
        <f>IF(ISNA(VLOOKUP((CONCATENATE("Target Throw-",I166,"-",Input!L166)),points11,2,)),0,VLOOKUP((CONCATENATE("Target Throw-",I166,"-",Input!L166)),points11,2,))</f>
        <v>0</v>
      </c>
      <c r="AA166">
        <f>IF(ISNA(VLOOKUP((CONCATENATE("Hi-Stepper-",I166,"-",Input!M166)),points11,2,)),0,VLOOKUP((CONCATENATE("Hi-Stepper-",I166,"-",Input!M166)),points11,2,))</f>
        <v>0</v>
      </c>
      <c r="AB166">
        <f>IF(ISNA(VLOOKUP((CONCATENATE("Chest Push-",I166,"-",Input!N166)),points11,2,)),0,VLOOKUP((CONCATENATE("Chest Push-",I166,"-",Input!N166)),points11,2,))</f>
        <v>0</v>
      </c>
      <c r="AC166">
        <f>IF(ISNA(VLOOKUP((CONCATENATE("Javelin Throw-",I166,"-",Input!O166)),points11,2,)),0,VLOOKUP((CONCATENATE("Javelin Throw-",I166,"-",Input!O166)),points11,2,))</f>
        <v>0</v>
      </c>
      <c r="AD166">
        <f t="shared" si="31"/>
        <v>0</v>
      </c>
      <c r="AE166" t="str">
        <f t="shared" si="32"/>
        <v xml:space="preserve"> </v>
      </c>
      <c r="AF166">
        <f t="shared" si="33"/>
        <v>0</v>
      </c>
    </row>
    <row r="167" spans="2:32" ht="15" thickBot="1" x14ac:dyDescent="0.4">
      <c r="B167" s="631" t="str">
        <f>'Competition Menu'!E14</f>
        <v>Team 14</v>
      </c>
      <c r="C167" s="520">
        <v>1</v>
      </c>
      <c r="D167" s="289">
        <v>14</v>
      </c>
      <c r="E167" s="421"/>
      <c r="F167" s="407"/>
      <c r="G167" s="422"/>
      <c r="H167" s="422"/>
      <c r="I167" s="422"/>
      <c r="J167" s="431"/>
      <c r="K167" s="422"/>
      <c r="L167" s="422"/>
      <c r="M167" s="422"/>
      <c r="N167" s="422"/>
      <c r="O167" s="507"/>
      <c r="P167" s="511">
        <f t="shared" si="23"/>
        <v>0</v>
      </c>
      <c r="Q167" s="449">
        <f t="shared" si="24"/>
        <v>0</v>
      </c>
      <c r="R167" s="449">
        <f t="shared" si="25"/>
        <v>0</v>
      </c>
      <c r="S167" s="449">
        <f t="shared" si="26"/>
        <v>0</v>
      </c>
      <c r="T167" s="449">
        <f t="shared" si="27"/>
        <v>0</v>
      </c>
      <c r="U167" s="449">
        <f t="shared" si="28"/>
        <v>0</v>
      </c>
      <c r="V167" s="449">
        <f t="shared" si="29"/>
        <v>0</v>
      </c>
      <c r="W167" s="450">
        <f t="shared" si="30"/>
        <v>0</v>
      </c>
      <c r="X167">
        <f>IF(ISNA(VLOOKUP((CONCATENATE("Standing Long Jump-",I167,"-",Input!J167)),points11,2,)),0,VLOOKUP((CONCATENATE("Standing Long Jump-",I167,"-",Input!J167)),points11,2,))</f>
        <v>0</v>
      </c>
      <c r="Y167">
        <f>IF(ISNA(VLOOKUP((CONCATENATE("Speed Bounce-",I167,"-",Input!K167)),points11,2,)),0,VLOOKUP((CONCATENATE("Speed Bounce-",I167,"-",Input!K167)),points11,2,))</f>
        <v>0</v>
      </c>
      <c r="Z167">
        <f>IF(ISNA(VLOOKUP((CONCATENATE("Target Throw-",I167,"-",Input!L167)),points11,2,)),0,VLOOKUP((CONCATENATE("Target Throw-",I167,"-",Input!L167)),points11,2,))</f>
        <v>0</v>
      </c>
      <c r="AA167">
        <f>IF(ISNA(VLOOKUP((CONCATENATE("Hi-Stepper-",I167,"-",Input!M167)),points11,2,)),0,VLOOKUP((CONCATENATE("Hi-Stepper-",I167,"-",Input!M167)),points11,2,))</f>
        <v>0</v>
      </c>
      <c r="AB167">
        <f>IF(ISNA(VLOOKUP((CONCATENATE("Chest Push-",I167,"-",Input!N167)),points11,2,)),0,VLOOKUP((CONCATENATE("Chest Push-",I167,"-",Input!N167)),points11,2,))</f>
        <v>0</v>
      </c>
      <c r="AC167">
        <f>IF(ISNA(VLOOKUP((CONCATENATE("Javelin Throw-",I167,"-",Input!O167)),points11,2,)),0,VLOOKUP((CONCATENATE("Javelin Throw-",I167,"-",Input!O167)),points11,2,))</f>
        <v>0</v>
      </c>
      <c r="AD167">
        <f t="shared" si="31"/>
        <v>0</v>
      </c>
      <c r="AE167" t="str">
        <f t="shared" si="32"/>
        <v xml:space="preserve"> </v>
      </c>
      <c r="AF167">
        <f t="shared" si="33"/>
        <v>0</v>
      </c>
    </row>
    <row r="168" spans="2:32" ht="15" thickBot="1" x14ac:dyDescent="0.4">
      <c r="B168" s="631"/>
      <c r="C168" s="520">
        <v>2</v>
      </c>
      <c r="D168" s="289">
        <v>14</v>
      </c>
      <c r="E168" s="387"/>
      <c r="F168" s="362"/>
      <c r="G168" s="388"/>
      <c r="H168" s="388"/>
      <c r="I168" s="388"/>
      <c r="J168" s="393"/>
      <c r="K168" s="388"/>
      <c r="L168" s="388"/>
      <c r="M168" s="388"/>
      <c r="N168" s="388"/>
      <c r="O168" s="503"/>
      <c r="P168" s="509">
        <f t="shared" si="23"/>
        <v>0</v>
      </c>
      <c r="Q168" s="445">
        <f t="shared" si="24"/>
        <v>0</v>
      </c>
      <c r="R168" s="445">
        <f t="shared" si="25"/>
        <v>0</v>
      </c>
      <c r="S168" s="445">
        <f t="shared" si="26"/>
        <v>0</v>
      </c>
      <c r="T168" s="445">
        <f t="shared" si="27"/>
        <v>0</v>
      </c>
      <c r="U168" s="445">
        <f t="shared" si="28"/>
        <v>0</v>
      </c>
      <c r="V168" s="445">
        <f t="shared" si="29"/>
        <v>0</v>
      </c>
      <c r="W168" s="446">
        <f t="shared" si="30"/>
        <v>0</v>
      </c>
      <c r="X168">
        <f>IF(ISNA(VLOOKUP((CONCATENATE("Standing Long Jump-",I168,"-",Input!J168)),points11,2,)),0,VLOOKUP((CONCATENATE("Standing Long Jump-",I168,"-",Input!J168)),points11,2,))</f>
        <v>0</v>
      </c>
      <c r="Y168">
        <f>IF(ISNA(VLOOKUP((CONCATENATE("Speed Bounce-",I168,"-",Input!K168)),points11,2,)),0,VLOOKUP((CONCATENATE("Speed Bounce-",I168,"-",Input!K168)),points11,2,))</f>
        <v>0</v>
      </c>
      <c r="Z168">
        <f>IF(ISNA(VLOOKUP((CONCATENATE("Target Throw-",I168,"-",Input!L168)),points11,2,)),0,VLOOKUP((CONCATENATE("Target Throw-",I168,"-",Input!L168)),points11,2,))</f>
        <v>0</v>
      </c>
      <c r="AA168">
        <f>IF(ISNA(VLOOKUP((CONCATENATE("Hi-Stepper-",I168,"-",Input!M168)),points11,2,)),0,VLOOKUP((CONCATENATE("Hi-Stepper-",I168,"-",Input!M168)),points11,2,))</f>
        <v>0</v>
      </c>
      <c r="AB168">
        <f>IF(ISNA(VLOOKUP((CONCATENATE("Chest Push-",I168,"-",Input!N168)),points11,2,)),0,VLOOKUP((CONCATENATE("Chest Push-",I168,"-",Input!N168)),points11,2,))</f>
        <v>0</v>
      </c>
      <c r="AC168">
        <f>IF(ISNA(VLOOKUP((CONCATENATE("Javelin Throw-",I168,"-",Input!O168)),points11,2,)),0,VLOOKUP((CONCATENATE("Javelin Throw-",I168,"-",Input!O168)),points11,2,))</f>
        <v>0</v>
      </c>
      <c r="AD168">
        <f t="shared" si="31"/>
        <v>0</v>
      </c>
      <c r="AE168" t="str">
        <f t="shared" si="32"/>
        <v xml:space="preserve"> </v>
      </c>
      <c r="AF168">
        <f t="shared" si="33"/>
        <v>0</v>
      </c>
    </row>
    <row r="169" spans="2:32" ht="15" thickBot="1" x14ac:dyDescent="0.4">
      <c r="B169" s="631"/>
      <c r="C169" s="520">
        <v>3</v>
      </c>
      <c r="D169" s="289">
        <v>14</v>
      </c>
      <c r="E169" s="387"/>
      <c r="F169" s="362"/>
      <c r="G169" s="388"/>
      <c r="H169" s="388"/>
      <c r="I169" s="388"/>
      <c r="J169" s="393"/>
      <c r="K169" s="388"/>
      <c r="L169" s="388"/>
      <c r="M169" s="388"/>
      <c r="N169" s="388"/>
      <c r="O169" s="503"/>
      <c r="P169" s="509">
        <f t="shared" si="23"/>
        <v>0</v>
      </c>
      <c r="Q169" s="445">
        <f t="shared" si="24"/>
        <v>0</v>
      </c>
      <c r="R169" s="445">
        <f t="shared" si="25"/>
        <v>0</v>
      </c>
      <c r="S169" s="445">
        <f t="shared" si="26"/>
        <v>0</v>
      </c>
      <c r="T169" s="445">
        <f t="shared" si="27"/>
        <v>0</v>
      </c>
      <c r="U169" s="445">
        <f t="shared" si="28"/>
        <v>0</v>
      </c>
      <c r="V169" s="445">
        <f t="shared" si="29"/>
        <v>0</v>
      </c>
      <c r="W169" s="446">
        <f t="shared" si="30"/>
        <v>0</v>
      </c>
      <c r="X169">
        <f>IF(ISNA(VLOOKUP((CONCATENATE("Standing Long Jump-",I169,"-",Input!J169)),points11,2,)),0,VLOOKUP((CONCATENATE("Standing Long Jump-",I169,"-",Input!J169)),points11,2,))</f>
        <v>0</v>
      </c>
      <c r="Y169">
        <f>IF(ISNA(VLOOKUP((CONCATENATE("Speed Bounce-",I169,"-",Input!K169)),points11,2,)),0,VLOOKUP((CONCATENATE("Speed Bounce-",I169,"-",Input!K169)),points11,2,))</f>
        <v>0</v>
      </c>
      <c r="Z169">
        <f>IF(ISNA(VLOOKUP((CONCATENATE("Target Throw-",I169,"-",Input!L169)),points11,2,)),0,VLOOKUP((CONCATENATE("Target Throw-",I169,"-",Input!L169)),points11,2,))</f>
        <v>0</v>
      </c>
      <c r="AA169">
        <f>IF(ISNA(VLOOKUP((CONCATENATE("Hi-Stepper-",I169,"-",Input!M169)),points11,2,)),0,VLOOKUP((CONCATENATE("Hi-Stepper-",I169,"-",Input!M169)),points11,2,))</f>
        <v>0</v>
      </c>
      <c r="AB169">
        <f>IF(ISNA(VLOOKUP((CONCATENATE("Chest Push-",I169,"-",Input!N169)),points11,2,)),0,VLOOKUP((CONCATENATE("Chest Push-",I169,"-",Input!N169)),points11,2,))</f>
        <v>0</v>
      </c>
      <c r="AC169">
        <f>IF(ISNA(VLOOKUP((CONCATENATE("Javelin Throw-",I169,"-",Input!O169)),points11,2,)),0,VLOOKUP((CONCATENATE("Javelin Throw-",I169,"-",Input!O169)),points11,2,))</f>
        <v>0</v>
      </c>
      <c r="AD169">
        <f t="shared" si="31"/>
        <v>0</v>
      </c>
      <c r="AE169" t="str">
        <f t="shared" si="32"/>
        <v xml:space="preserve"> </v>
      </c>
      <c r="AF169">
        <f t="shared" si="33"/>
        <v>0</v>
      </c>
    </row>
    <row r="170" spans="2:32" ht="15" thickBot="1" x14ac:dyDescent="0.4">
      <c r="B170" s="631"/>
      <c r="C170" s="520">
        <v>4</v>
      </c>
      <c r="D170" s="289">
        <v>14</v>
      </c>
      <c r="E170" s="387"/>
      <c r="F170" s="362"/>
      <c r="G170" s="388"/>
      <c r="H170" s="388"/>
      <c r="I170" s="388"/>
      <c r="J170" s="393"/>
      <c r="K170" s="388"/>
      <c r="L170" s="388"/>
      <c r="M170" s="388"/>
      <c r="N170" s="388"/>
      <c r="O170" s="503"/>
      <c r="P170" s="509">
        <f t="shared" si="23"/>
        <v>0</v>
      </c>
      <c r="Q170" s="445">
        <f t="shared" si="24"/>
        <v>0</v>
      </c>
      <c r="R170" s="445">
        <f t="shared" si="25"/>
        <v>0</v>
      </c>
      <c r="S170" s="445">
        <f t="shared" si="26"/>
        <v>0</v>
      </c>
      <c r="T170" s="445">
        <f t="shared" si="27"/>
        <v>0</v>
      </c>
      <c r="U170" s="445">
        <f t="shared" si="28"/>
        <v>0</v>
      </c>
      <c r="V170" s="445">
        <f t="shared" si="29"/>
        <v>0</v>
      </c>
      <c r="W170" s="446">
        <f t="shared" si="30"/>
        <v>0</v>
      </c>
      <c r="X170">
        <f>IF(ISNA(VLOOKUP((CONCATENATE("Standing Long Jump-",I170,"-",Input!J170)),points11,2,)),0,VLOOKUP((CONCATENATE("Standing Long Jump-",I170,"-",Input!J170)),points11,2,))</f>
        <v>0</v>
      </c>
      <c r="Y170">
        <f>IF(ISNA(VLOOKUP((CONCATENATE("Speed Bounce-",I170,"-",Input!K170)),points11,2,)),0,VLOOKUP((CONCATENATE("Speed Bounce-",I170,"-",Input!K170)),points11,2,))</f>
        <v>0</v>
      </c>
      <c r="Z170">
        <f>IF(ISNA(VLOOKUP((CONCATENATE("Target Throw-",I170,"-",Input!L170)),points11,2,)),0,VLOOKUP((CONCATENATE("Target Throw-",I170,"-",Input!L170)),points11,2,))</f>
        <v>0</v>
      </c>
      <c r="AA170">
        <f>IF(ISNA(VLOOKUP((CONCATENATE("Hi-Stepper-",I170,"-",Input!M170)),points11,2,)),0,VLOOKUP((CONCATENATE("Hi-Stepper-",I170,"-",Input!M170)),points11,2,))</f>
        <v>0</v>
      </c>
      <c r="AB170">
        <f>IF(ISNA(VLOOKUP((CONCATENATE("Chest Push-",I170,"-",Input!N170)),points11,2,)),0,VLOOKUP((CONCATENATE("Chest Push-",I170,"-",Input!N170)),points11,2,))</f>
        <v>0</v>
      </c>
      <c r="AC170">
        <f>IF(ISNA(VLOOKUP((CONCATENATE("Javelin Throw-",I170,"-",Input!O170)),points11,2,)),0,VLOOKUP((CONCATENATE("Javelin Throw-",I170,"-",Input!O170)),points11,2,))</f>
        <v>0</v>
      </c>
      <c r="AD170">
        <f t="shared" si="31"/>
        <v>0</v>
      </c>
      <c r="AE170" t="str">
        <f t="shared" si="32"/>
        <v xml:space="preserve"> </v>
      </c>
      <c r="AF170">
        <f t="shared" si="33"/>
        <v>0</v>
      </c>
    </row>
    <row r="171" spans="2:32" ht="15" thickBot="1" x14ac:dyDescent="0.4">
      <c r="B171" s="631"/>
      <c r="C171" s="520">
        <v>5</v>
      </c>
      <c r="D171" s="289">
        <v>14</v>
      </c>
      <c r="E171" s="387"/>
      <c r="F171" s="362"/>
      <c r="G171" s="388"/>
      <c r="H171" s="388"/>
      <c r="I171" s="388"/>
      <c r="J171" s="393"/>
      <c r="K171" s="388"/>
      <c r="L171" s="388"/>
      <c r="M171" s="388"/>
      <c r="N171" s="388"/>
      <c r="O171" s="503"/>
      <c r="P171" s="509">
        <f t="shared" si="23"/>
        <v>0</v>
      </c>
      <c r="Q171" s="445">
        <f t="shared" si="24"/>
        <v>0</v>
      </c>
      <c r="R171" s="445">
        <f t="shared" si="25"/>
        <v>0</v>
      </c>
      <c r="S171" s="445">
        <f t="shared" si="26"/>
        <v>0</v>
      </c>
      <c r="T171" s="445">
        <f t="shared" si="27"/>
        <v>0</v>
      </c>
      <c r="U171" s="445">
        <f t="shared" si="28"/>
        <v>0</v>
      </c>
      <c r="V171" s="445">
        <f t="shared" si="29"/>
        <v>0</v>
      </c>
      <c r="W171" s="446">
        <f t="shared" si="30"/>
        <v>0</v>
      </c>
      <c r="X171">
        <f>IF(ISNA(VLOOKUP((CONCATENATE("Standing Long Jump-",I171,"-",Input!J171)),points11,2,)),0,VLOOKUP((CONCATENATE("Standing Long Jump-",I171,"-",Input!J171)),points11,2,))</f>
        <v>0</v>
      </c>
      <c r="Y171">
        <f>IF(ISNA(VLOOKUP((CONCATENATE("Speed Bounce-",I171,"-",Input!K171)),points11,2,)),0,VLOOKUP((CONCATENATE("Speed Bounce-",I171,"-",Input!K171)),points11,2,))</f>
        <v>0</v>
      </c>
      <c r="Z171">
        <f>IF(ISNA(VLOOKUP((CONCATENATE("Target Throw-",I171,"-",Input!L171)),points11,2,)),0,VLOOKUP((CONCATENATE("Target Throw-",I171,"-",Input!L171)),points11,2,))</f>
        <v>0</v>
      </c>
      <c r="AA171">
        <f>IF(ISNA(VLOOKUP((CONCATENATE("Hi-Stepper-",I171,"-",Input!M171)),points11,2,)),0,VLOOKUP((CONCATENATE("Hi-Stepper-",I171,"-",Input!M171)),points11,2,))</f>
        <v>0</v>
      </c>
      <c r="AB171">
        <f>IF(ISNA(VLOOKUP((CONCATENATE("Chest Push-",I171,"-",Input!N171)),points11,2,)),0,VLOOKUP((CONCATENATE("Chest Push-",I171,"-",Input!N171)),points11,2,))</f>
        <v>0</v>
      </c>
      <c r="AC171">
        <f>IF(ISNA(VLOOKUP((CONCATENATE("Javelin Throw-",I171,"-",Input!O171)),points11,2,)),0,VLOOKUP((CONCATENATE("Javelin Throw-",I171,"-",Input!O171)),points11,2,))</f>
        <v>0</v>
      </c>
      <c r="AD171">
        <f t="shared" si="31"/>
        <v>0</v>
      </c>
      <c r="AE171" t="str">
        <f t="shared" si="32"/>
        <v xml:space="preserve"> </v>
      </c>
      <c r="AF171">
        <f t="shared" si="33"/>
        <v>0</v>
      </c>
    </row>
    <row r="172" spans="2:32" ht="15" thickBot="1" x14ac:dyDescent="0.4">
      <c r="B172" s="631"/>
      <c r="C172" s="520">
        <v>6</v>
      </c>
      <c r="D172" s="289">
        <v>14</v>
      </c>
      <c r="E172" s="387"/>
      <c r="F172" s="362"/>
      <c r="G172" s="388"/>
      <c r="H172" s="388"/>
      <c r="I172" s="388"/>
      <c r="J172" s="393"/>
      <c r="K172" s="388"/>
      <c r="L172" s="388"/>
      <c r="M172" s="388"/>
      <c r="N172" s="388"/>
      <c r="O172" s="503"/>
      <c r="P172" s="509">
        <f t="shared" si="23"/>
        <v>0</v>
      </c>
      <c r="Q172" s="445">
        <f t="shared" si="24"/>
        <v>0</v>
      </c>
      <c r="R172" s="445">
        <f t="shared" si="25"/>
        <v>0</v>
      </c>
      <c r="S172" s="445">
        <f t="shared" si="26"/>
        <v>0</v>
      </c>
      <c r="T172" s="445">
        <f t="shared" si="27"/>
        <v>0</v>
      </c>
      <c r="U172" s="445">
        <f t="shared" si="28"/>
        <v>0</v>
      </c>
      <c r="V172" s="445">
        <f t="shared" si="29"/>
        <v>0</v>
      </c>
      <c r="W172" s="446">
        <f t="shared" si="30"/>
        <v>0</v>
      </c>
      <c r="X172">
        <f>IF(ISNA(VLOOKUP((CONCATENATE("Standing Long Jump-",I172,"-",Input!J172)),points11,2,)),0,VLOOKUP((CONCATENATE("Standing Long Jump-",I172,"-",Input!J172)),points11,2,))</f>
        <v>0</v>
      </c>
      <c r="Y172">
        <f>IF(ISNA(VLOOKUP((CONCATENATE("Speed Bounce-",I172,"-",Input!K172)),points11,2,)),0,VLOOKUP((CONCATENATE("Speed Bounce-",I172,"-",Input!K172)),points11,2,))</f>
        <v>0</v>
      </c>
      <c r="Z172">
        <f>IF(ISNA(VLOOKUP((CONCATENATE("Target Throw-",I172,"-",Input!L172)),points11,2,)),0,VLOOKUP((CONCATENATE("Target Throw-",I172,"-",Input!L172)),points11,2,))</f>
        <v>0</v>
      </c>
      <c r="AA172">
        <f>IF(ISNA(VLOOKUP((CONCATENATE("Hi-Stepper-",I172,"-",Input!M172)),points11,2,)),0,VLOOKUP((CONCATENATE("Hi-Stepper-",I172,"-",Input!M172)),points11,2,))</f>
        <v>0</v>
      </c>
      <c r="AB172">
        <f>IF(ISNA(VLOOKUP((CONCATENATE("Chest Push-",I172,"-",Input!N172)),points11,2,)),0,VLOOKUP((CONCATENATE("Chest Push-",I172,"-",Input!N172)),points11,2,))</f>
        <v>0</v>
      </c>
      <c r="AC172">
        <f>IF(ISNA(VLOOKUP((CONCATENATE("Javelin Throw-",I172,"-",Input!O172)),points11,2,)),0,VLOOKUP((CONCATENATE("Javelin Throw-",I172,"-",Input!O172)),points11,2,))</f>
        <v>0</v>
      </c>
      <c r="AD172">
        <f t="shared" si="31"/>
        <v>0</v>
      </c>
      <c r="AE172" t="str">
        <f t="shared" si="32"/>
        <v xml:space="preserve"> </v>
      </c>
      <c r="AF172">
        <f t="shared" si="33"/>
        <v>0</v>
      </c>
    </row>
    <row r="173" spans="2:32" ht="15" thickBot="1" x14ac:dyDescent="0.4">
      <c r="B173" s="631"/>
      <c r="C173" s="520">
        <v>7</v>
      </c>
      <c r="D173" s="289">
        <v>14</v>
      </c>
      <c r="E173" s="387"/>
      <c r="F173" s="362"/>
      <c r="G173" s="388"/>
      <c r="H173" s="388"/>
      <c r="I173" s="388"/>
      <c r="J173" s="393"/>
      <c r="K173" s="388"/>
      <c r="L173" s="388"/>
      <c r="M173" s="388"/>
      <c r="N173" s="388"/>
      <c r="O173" s="503"/>
      <c r="P173" s="509">
        <f t="shared" si="23"/>
        <v>0</v>
      </c>
      <c r="Q173" s="445">
        <f t="shared" si="24"/>
        <v>0</v>
      </c>
      <c r="R173" s="445">
        <f t="shared" si="25"/>
        <v>0</v>
      </c>
      <c r="S173" s="445">
        <f t="shared" si="26"/>
        <v>0</v>
      </c>
      <c r="T173" s="445">
        <f t="shared" si="27"/>
        <v>0</v>
      </c>
      <c r="U173" s="445">
        <f t="shared" si="28"/>
        <v>0</v>
      </c>
      <c r="V173" s="445">
        <f t="shared" si="29"/>
        <v>0</v>
      </c>
      <c r="W173" s="446">
        <f t="shared" si="30"/>
        <v>0</v>
      </c>
      <c r="X173">
        <f>IF(ISNA(VLOOKUP((CONCATENATE("Standing Long Jump-",I173,"-",Input!J173)),points11,2,)),0,VLOOKUP((CONCATENATE("Standing Long Jump-",I173,"-",Input!J173)),points11,2,))</f>
        <v>0</v>
      </c>
      <c r="Y173">
        <f>IF(ISNA(VLOOKUP((CONCATENATE("Speed Bounce-",I173,"-",Input!K173)),points11,2,)),0,VLOOKUP((CONCATENATE("Speed Bounce-",I173,"-",Input!K173)),points11,2,))</f>
        <v>0</v>
      </c>
      <c r="Z173">
        <f>IF(ISNA(VLOOKUP((CONCATENATE("Target Throw-",I173,"-",Input!L173)),points11,2,)),0,VLOOKUP((CONCATENATE("Target Throw-",I173,"-",Input!L173)),points11,2,))</f>
        <v>0</v>
      </c>
      <c r="AA173">
        <f>IF(ISNA(VLOOKUP((CONCATENATE("Hi-Stepper-",I173,"-",Input!M173)),points11,2,)),0,VLOOKUP((CONCATENATE("Hi-Stepper-",I173,"-",Input!M173)),points11,2,))</f>
        <v>0</v>
      </c>
      <c r="AB173">
        <f>IF(ISNA(VLOOKUP((CONCATENATE("Chest Push-",I173,"-",Input!N173)),points11,2,)),0,VLOOKUP((CONCATENATE("Chest Push-",I173,"-",Input!N173)),points11,2,))</f>
        <v>0</v>
      </c>
      <c r="AC173">
        <f>IF(ISNA(VLOOKUP((CONCATENATE("Javelin Throw-",I173,"-",Input!O173)),points11,2,)),0,VLOOKUP((CONCATENATE("Javelin Throw-",I173,"-",Input!O173)),points11,2,))</f>
        <v>0</v>
      </c>
      <c r="AD173">
        <f t="shared" si="31"/>
        <v>0</v>
      </c>
      <c r="AE173" t="str">
        <f t="shared" si="32"/>
        <v xml:space="preserve"> </v>
      </c>
      <c r="AF173">
        <f t="shared" si="33"/>
        <v>0</v>
      </c>
    </row>
    <row r="174" spans="2:32" ht="15" thickBot="1" x14ac:dyDescent="0.4">
      <c r="B174" s="631"/>
      <c r="C174" s="520">
        <v>8</v>
      </c>
      <c r="D174" s="289">
        <v>14</v>
      </c>
      <c r="E174" s="387"/>
      <c r="F174" s="362"/>
      <c r="G174" s="388"/>
      <c r="H174" s="388"/>
      <c r="I174" s="388"/>
      <c r="J174" s="393"/>
      <c r="K174" s="388"/>
      <c r="L174" s="388"/>
      <c r="M174" s="388"/>
      <c r="N174" s="388"/>
      <c r="O174" s="503"/>
      <c r="P174" s="509">
        <f t="shared" si="23"/>
        <v>0</v>
      </c>
      <c r="Q174" s="445">
        <f t="shared" si="24"/>
        <v>0</v>
      </c>
      <c r="R174" s="445">
        <f t="shared" si="25"/>
        <v>0</v>
      </c>
      <c r="S174" s="445">
        <f t="shared" si="26"/>
        <v>0</v>
      </c>
      <c r="T174" s="445">
        <f t="shared" si="27"/>
        <v>0</v>
      </c>
      <c r="U174" s="445">
        <f t="shared" si="28"/>
        <v>0</v>
      </c>
      <c r="V174" s="445">
        <f t="shared" si="29"/>
        <v>0</v>
      </c>
      <c r="W174" s="446">
        <f t="shared" si="30"/>
        <v>0</v>
      </c>
      <c r="X174">
        <f>IF(ISNA(VLOOKUP((CONCATENATE("Standing Long Jump-",I174,"-",Input!J174)),points11,2,)),0,VLOOKUP((CONCATENATE("Standing Long Jump-",I174,"-",Input!J174)),points11,2,))</f>
        <v>0</v>
      </c>
      <c r="Y174">
        <f>IF(ISNA(VLOOKUP((CONCATENATE("Speed Bounce-",I174,"-",Input!K174)),points11,2,)),0,VLOOKUP((CONCATENATE("Speed Bounce-",I174,"-",Input!K174)),points11,2,))</f>
        <v>0</v>
      </c>
      <c r="Z174">
        <f>IF(ISNA(VLOOKUP((CONCATENATE("Target Throw-",I174,"-",Input!L174)),points11,2,)),0,VLOOKUP((CONCATENATE("Target Throw-",I174,"-",Input!L174)),points11,2,))</f>
        <v>0</v>
      </c>
      <c r="AA174">
        <f>IF(ISNA(VLOOKUP((CONCATENATE("Hi-Stepper-",I174,"-",Input!M174)),points11,2,)),0,VLOOKUP((CONCATENATE("Hi-Stepper-",I174,"-",Input!M174)),points11,2,))</f>
        <v>0</v>
      </c>
      <c r="AB174">
        <f>IF(ISNA(VLOOKUP((CONCATENATE("Chest Push-",I174,"-",Input!N174)),points11,2,)),0,VLOOKUP((CONCATENATE("Chest Push-",I174,"-",Input!N174)),points11,2,))</f>
        <v>0</v>
      </c>
      <c r="AC174">
        <f>IF(ISNA(VLOOKUP((CONCATENATE("Javelin Throw-",I174,"-",Input!O174)),points11,2,)),0,VLOOKUP((CONCATENATE("Javelin Throw-",I174,"-",Input!O174)),points11,2,))</f>
        <v>0</v>
      </c>
      <c r="AD174">
        <f t="shared" si="31"/>
        <v>0</v>
      </c>
      <c r="AE174" t="str">
        <f t="shared" si="32"/>
        <v xml:space="preserve"> </v>
      </c>
      <c r="AF174">
        <f t="shared" si="33"/>
        <v>0</v>
      </c>
    </row>
    <row r="175" spans="2:32" ht="15" thickBot="1" x14ac:dyDescent="0.4">
      <c r="B175" s="631"/>
      <c r="C175" s="520">
        <v>9</v>
      </c>
      <c r="D175" s="289">
        <v>14</v>
      </c>
      <c r="E175" s="387"/>
      <c r="F175" s="362"/>
      <c r="G175" s="388"/>
      <c r="H175" s="388"/>
      <c r="I175" s="388"/>
      <c r="J175" s="393"/>
      <c r="K175" s="388"/>
      <c r="L175" s="388"/>
      <c r="M175" s="388"/>
      <c r="N175" s="388"/>
      <c r="O175" s="503"/>
      <c r="P175" s="509">
        <f t="shared" si="23"/>
        <v>0</v>
      </c>
      <c r="Q175" s="445">
        <f t="shared" si="24"/>
        <v>0</v>
      </c>
      <c r="R175" s="445">
        <f t="shared" si="25"/>
        <v>0</v>
      </c>
      <c r="S175" s="445">
        <f t="shared" si="26"/>
        <v>0</v>
      </c>
      <c r="T175" s="445">
        <f t="shared" si="27"/>
        <v>0</v>
      </c>
      <c r="U175" s="445">
        <f t="shared" si="28"/>
        <v>0</v>
      </c>
      <c r="V175" s="445">
        <f t="shared" si="29"/>
        <v>0</v>
      </c>
      <c r="W175" s="446">
        <f t="shared" si="30"/>
        <v>0</v>
      </c>
      <c r="X175">
        <f>IF(ISNA(VLOOKUP((CONCATENATE("Standing Long Jump-",I175,"-",Input!J175)),points11,2,)),0,VLOOKUP((CONCATENATE("Standing Long Jump-",I175,"-",Input!J175)),points11,2,))</f>
        <v>0</v>
      </c>
      <c r="Y175">
        <f>IF(ISNA(VLOOKUP((CONCATENATE("Speed Bounce-",I175,"-",Input!K175)),points11,2,)),0,VLOOKUP((CONCATENATE("Speed Bounce-",I175,"-",Input!K175)),points11,2,))</f>
        <v>0</v>
      </c>
      <c r="Z175">
        <f>IF(ISNA(VLOOKUP((CONCATENATE("Target Throw-",I175,"-",Input!L175)),points11,2,)),0,VLOOKUP((CONCATENATE("Target Throw-",I175,"-",Input!L175)),points11,2,))</f>
        <v>0</v>
      </c>
      <c r="AA175">
        <f>IF(ISNA(VLOOKUP((CONCATENATE("Hi-Stepper-",I175,"-",Input!M175)),points11,2,)),0,VLOOKUP((CONCATENATE("Hi-Stepper-",I175,"-",Input!M175)),points11,2,))</f>
        <v>0</v>
      </c>
      <c r="AB175">
        <f>IF(ISNA(VLOOKUP((CONCATENATE("Chest Push-",I175,"-",Input!N175)),points11,2,)),0,VLOOKUP((CONCATENATE("Chest Push-",I175,"-",Input!N175)),points11,2,))</f>
        <v>0</v>
      </c>
      <c r="AC175">
        <f>IF(ISNA(VLOOKUP((CONCATENATE("Javelin Throw-",I175,"-",Input!O175)),points11,2,)),0,VLOOKUP((CONCATENATE("Javelin Throw-",I175,"-",Input!O175)),points11,2,))</f>
        <v>0</v>
      </c>
      <c r="AD175">
        <f t="shared" si="31"/>
        <v>0</v>
      </c>
      <c r="AE175" t="str">
        <f t="shared" si="32"/>
        <v xml:space="preserve"> </v>
      </c>
      <c r="AF175">
        <f t="shared" si="33"/>
        <v>0</v>
      </c>
    </row>
    <row r="176" spans="2:32" ht="15" thickBot="1" x14ac:dyDescent="0.4">
      <c r="B176" s="631"/>
      <c r="C176" s="520">
        <v>10</v>
      </c>
      <c r="D176" s="289">
        <v>14</v>
      </c>
      <c r="E176" s="387"/>
      <c r="F176" s="362"/>
      <c r="G176" s="388"/>
      <c r="H176" s="388"/>
      <c r="I176" s="388"/>
      <c r="J176" s="393"/>
      <c r="K176" s="388"/>
      <c r="L176" s="388"/>
      <c r="M176" s="388"/>
      <c r="N176" s="388"/>
      <c r="O176" s="503"/>
      <c r="P176" s="509">
        <f t="shared" si="23"/>
        <v>0</v>
      </c>
      <c r="Q176" s="445">
        <f t="shared" si="24"/>
        <v>0</v>
      </c>
      <c r="R176" s="445">
        <f t="shared" si="25"/>
        <v>0</v>
      </c>
      <c r="S176" s="445">
        <f t="shared" si="26"/>
        <v>0</v>
      </c>
      <c r="T176" s="445">
        <f t="shared" si="27"/>
        <v>0</v>
      </c>
      <c r="U176" s="445">
        <f t="shared" si="28"/>
        <v>0</v>
      </c>
      <c r="V176" s="445">
        <f t="shared" si="29"/>
        <v>0</v>
      </c>
      <c r="W176" s="446">
        <f t="shared" si="30"/>
        <v>0</v>
      </c>
      <c r="X176">
        <f>IF(ISNA(VLOOKUP((CONCATENATE("Standing Long Jump-",I176,"-",Input!J176)),points11,2,)),0,VLOOKUP((CONCATENATE("Standing Long Jump-",I176,"-",Input!J176)),points11,2,))</f>
        <v>0</v>
      </c>
      <c r="Y176">
        <f>IF(ISNA(VLOOKUP((CONCATENATE("Speed Bounce-",I176,"-",Input!K176)),points11,2,)),0,VLOOKUP((CONCATENATE("Speed Bounce-",I176,"-",Input!K176)),points11,2,))</f>
        <v>0</v>
      </c>
      <c r="Z176">
        <f>IF(ISNA(VLOOKUP((CONCATENATE("Target Throw-",I176,"-",Input!L176)),points11,2,)),0,VLOOKUP((CONCATENATE("Target Throw-",I176,"-",Input!L176)),points11,2,))</f>
        <v>0</v>
      </c>
      <c r="AA176">
        <f>IF(ISNA(VLOOKUP((CONCATENATE("Hi-Stepper-",I176,"-",Input!M176)),points11,2,)),0,VLOOKUP((CONCATENATE("Hi-Stepper-",I176,"-",Input!M176)),points11,2,))</f>
        <v>0</v>
      </c>
      <c r="AB176">
        <f>IF(ISNA(VLOOKUP((CONCATENATE("Chest Push-",I176,"-",Input!N176)),points11,2,)),0,VLOOKUP((CONCATENATE("Chest Push-",I176,"-",Input!N176)),points11,2,))</f>
        <v>0</v>
      </c>
      <c r="AC176">
        <f>IF(ISNA(VLOOKUP((CONCATENATE("Javelin Throw-",I176,"-",Input!O176)),points11,2,)),0,VLOOKUP((CONCATENATE("Javelin Throw-",I176,"-",Input!O176)),points11,2,))</f>
        <v>0</v>
      </c>
      <c r="AD176">
        <f t="shared" si="31"/>
        <v>0</v>
      </c>
      <c r="AE176" t="str">
        <f t="shared" si="32"/>
        <v xml:space="preserve"> </v>
      </c>
      <c r="AF176">
        <f t="shared" si="33"/>
        <v>0</v>
      </c>
    </row>
    <row r="177" spans="2:32" ht="15" thickBot="1" x14ac:dyDescent="0.4">
      <c r="B177" s="631"/>
      <c r="C177" s="520">
        <v>11</v>
      </c>
      <c r="D177" s="289">
        <v>14</v>
      </c>
      <c r="E177" s="387"/>
      <c r="F177" s="362"/>
      <c r="G177" s="388"/>
      <c r="H177" s="388"/>
      <c r="I177" s="388"/>
      <c r="J177" s="393"/>
      <c r="K177" s="388"/>
      <c r="L177" s="388"/>
      <c r="M177" s="388"/>
      <c r="N177" s="388"/>
      <c r="O177" s="503"/>
      <c r="P177" s="509">
        <f t="shared" si="23"/>
        <v>0</v>
      </c>
      <c r="Q177" s="445">
        <f t="shared" si="24"/>
        <v>0</v>
      </c>
      <c r="R177" s="445">
        <f t="shared" si="25"/>
        <v>0</v>
      </c>
      <c r="S177" s="445">
        <f t="shared" si="26"/>
        <v>0</v>
      </c>
      <c r="T177" s="445">
        <f t="shared" si="27"/>
        <v>0</v>
      </c>
      <c r="U177" s="445">
        <f t="shared" si="28"/>
        <v>0</v>
      </c>
      <c r="V177" s="445">
        <f t="shared" si="29"/>
        <v>0</v>
      </c>
      <c r="W177" s="446">
        <f t="shared" si="30"/>
        <v>0</v>
      </c>
      <c r="X177">
        <f>IF(ISNA(VLOOKUP((CONCATENATE("Standing Long Jump-",I177,"-",Input!J177)),points11,2,)),0,VLOOKUP((CONCATENATE("Standing Long Jump-",I177,"-",Input!J177)),points11,2,))</f>
        <v>0</v>
      </c>
      <c r="Y177">
        <f>IF(ISNA(VLOOKUP((CONCATENATE("Speed Bounce-",I177,"-",Input!K177)),points11,2,)),0,VLOOKUP((CONCATENATE("Speed Bounce-",I177,"-",Input!K177)),points11,2,))</f>
        <v>0</v>
      </c>
      <c r="Z177">
        <f>IF(ISNA(VLOOKUP((CONCATENATE("Target Throw-",I177,"-",Input!L177)),points11,2,)),0,VLOOKUP((CONCATENATE("Target Throw-",I177,"-",Input!L177)),points11,2,))</f>
        <v>0</v>
      </c>
      <c r="AA177">
        <f>IF(ISNA(VLOOKUP((CONCATENATE("Hi-Stepper-",I177,"-",Input!M177)),points11,2,)),0,VLOOKUP((CONCATENATE("Hi-Stepper-",I177,"-",Input!M177)),points11,2,))</f>
        <v>0</v>
      </c>
      <c r="AB177">
        <f>IF(ISNA(VLOOKUP((CONCATENATE("Chest Push-",I177,"-",Input!N177)),points11,2,)),0,VLOOKUP((CONCATENATE("Chest Push-",I177,"-",Input!N177)),points11,2,))</f>
        <v>0</v>
      </c>
      <c r="AC177">
        <f>IF(ISNA(VLOOKUP((CONCATENATE("Javelin Throw-",I177,"-",Input!O177)),points11,2,)),0,VLOOKUP((CONCATENATE("Javelin Throw-",I177,"-",Input!O177)),points11,2,))</f>
        <v>0</v>
      </c>
      <c r="AD177">
        <f t="shared" si="31"/>
        <v>0</v>
      </c>
      <c r="AE177" t="str">
        <f t="shared" si="32"/>
        <v xml:space="preserve"> </v>
      </c>
      <c r="AF177">
        <f t="shared" si="33"/>
        <v>0</v>
      </c>
    </row>
    <row r="178" spans="2:32" ht="15" thickBot="1" x14ac:dyDescent="0.4">
      <c r="B178" s="631"/>
      <c r="C178" s="520">
        <v>12</v>
      </c>
      <c r="D178" s="289">
        <v>14</v>
      </c>
      <c r="E178" s="428"/>
      <c r="F178" s="400"/>
      <c r="G178" s="429"/>
      <c r="H178" s="429"/>
      <c r="I178" s="429"/>
      <c r="J178" s="430"/>
      <c r="K178" s="429"/>
      <c r="L178" s="429"/>
      <c r="M178" s="429"/>
      <c r="N178" s="429"/>
      <c r="O178" s="504"/>
      <c r="P178" s="512">
        <f t="shared" si="23"/>
        <v>0</v>
      </c>
      <c r="Q178" s="451">
        <f t="shared" si="24"/>
        <v>0</v>
      </c>
      <c r="R178" s="451">
        <f t="shared" si="25"/>
        <v>0</v>
      </c>
      <c r="S178" s="451">
        <f t="shared" si="26"/>
        <v>0</v>
      </c>
      <c r="T178" s="451">
        <f t="shared" si="27"/>
        <v>0</v>
      </c>
      <c r="U178" s="451">
        <f t="shared" si="28"/>
        <v>0</v>
      </c>
      <c r="V178" s="451">
        <f t="shared" si="29"/>
        <v>0</v>
      </c>
      <c r="W178" s="452">
        <f t="shared" si="30"/>
        <v>0</v>
      </c>
      <c r="X178">
        <f>IF(ISNA(VLOOKUP((CONCATENATE("Standing Long Jump-",I178,"-",Input!J178)),points11,2,)),0,VLOOKUP((CONCATENATE("Standing Long Jump-",I178,"-",Input!J178)),points11,2,))</f>
        <v>0</v>
      </c>
      <c r="Y178">
        <f>IF(ISNA(VLOOKUP((CONCATENATE("Speed Bounce-",I178,"-",Input!K178)),points11,2,)),0,VLOOKUP((CONCATENATE("Speed Bounce-",I178,"-",Input!K178)),points11,2,))</f>
        <v>0</v>
      </c>
      <c r="Z178">
        <f>IF(ISNA(VLOOKUP((CONCATENATE("Target Throw-",I178,"-",Input!L178)),points11,2,)),0,VLOOKUP((CONCATENATE("Target Throw-",I178,"-",Input!L178)),points11,2,))</f>
        <v>0</v>
      </c>
      <c r="AA178">
        <f>IF(ISNA(VLOOKUP((CONCATENATE("Hi-Stepper-",I178,"-",Input!M178)),points11,2,)),0,VLOOKUP((CONCATENATE("Hi-Stepper-",I178,"-",Input!M178)),points11,2,))</f>
        <v>0</v>
      </c>
      <c r="AB178">
        <f>IF(ISNA(VLOOKUP((CONCATENATE("Chest Push-",I178,"-",Input!N178)),points11,2,)),0,VLOOKUP((CONCATENATE("Chest Push-",I178,"-",Input!N178)),points11,2,))</f>
        <v>0</v>
      </c>
      <c r="AC178">
        <f>IF(ISNA(VLOOKUP((CONCATENATE("Javelin Throw-",I178,"-",Input!O178)),points11,2,)),0,VLOOKUP((CONCATENATE("Javelin Throw-",I178,"-",Input!O178)),points11,2,))</f>
        <v>0</v>
      </c>
      <c r="AD178">
        <f t="shared" si="31"/>
        <v>0</v>
      </c>
      <c r="AE178" t="str">
        <f t="shared" si="32"/>
        <v xml:space="preserve"> </v>
      </c>
      <c r="AF178">
        <f t="shared" si="33"/>
        <v>0</v>
      </c>
    </row>
    <row r="179" spans="2:32" ht="15" thickBot="1" x14ac:dyDescent="0.4">
      <c r="B179" s="631" t="str">
        <f>'Competition Menu'!E15</f>
        <v>Team 15</v>
      </c>
      <c r="C179" s="520">
        <v>1</v>
      </c>
      <c r="D179" s="289">
        <v>15</v>
      </c>
      <c r="E179" s="479"/>
      <c r="F179" s="357"/>
      <c r="G179" s="480"/>
      <c r="H179" s="480"/>
      <c r="I179" s="480"/>
      <c r="J179" s="481"/>
      <c r="K179" s="480"/>
      <c r="L179" s="480"/>
      <c r="M179" s="480"/>
      <c r="N179" s="480"/>
      <c r="O179" s="505"/>
      <c r="P179" s="513">
        <f t="shared" si="23"/>
        <v>0</v>
      </c>
      <c r="Q179" s="453">
        <f t="shared" si="24"/>
        <v>0</v>
      </c>
      <c r="R179" s="453">
        <f t="shared" si="25"/>
        <v>0</v>
      </c>
      <c r="S179" s="453">
        <f t="shared" si="26"/>
        <v>0</v>
      </c>
      <c r="T179" s="453">
        <f t="shared" si="27"/>
        <v>0</v>
      </c>
      <c r="U179" s="453">
        <f t="shared" si="28"/>
        <v>0</v>
      </c>
      <c r="V179" s="453">
        <f t="shared" si="29"/>
        <v>0</v>
      </c>
      <c r="W179" s="454">
        <f t="shared" si="30"/>
        <v>0</v>
      </c>
      <c r="X179">
        <f>IF(ISNA(VLOOKUP((CONCATENATE("Standing Long Jump-",I179,"-",Input!J179)),points11,2,)),0,VLOOKUP((CONCATENATE("Standing Long Jump-",I179,"-",Input!J179)),points11,2,))</f>
        <v>0</v>
      </c>
      <c r="Y179">
        <f>IF(ISNA(VLOOKUP((CONCATENATE("Speed Bounce-",I179,"-",Input!K179)),points11,2,)),0,VLOOKUP((CONCATENATE("Speed Bounce-",I179,"-",Input!K179)),points11,2,))</f>
        <v>0</v>
      </c>
      <c r="Z179">
        <f>IF(ISNA(VLOOKUP((CONCATENATE("Target Throw-",I179,"-",Input!L179)),points11,2,)),0,VLOOKUP((CONCATENATE("Target Throw-",I179,"-",Input!L179)),points11,2,))</f>
        <v>0</v>
      </c>
      <c r="AA179">
        <f>IF(ISNA(VLOOKUP((CONCATENATE("Hi-Stepper-",I179,"-",Input!M179)),points11,2,)),0,VLOOKUP((CONCATENATE("Hi-Stepper-",I179,"-",Input!M179)),points11,2,))</f>
        <v>0</v>
      </c>
      <c r="AB179">
        <f>IF(ISNA(VLOOKUP((CONCATENATE("Chest Push-",I179,"-",Input!N179)),points11,2,)),0,VLOOKUP((CONCATENATE("Chest Push-",I179,"-",Input!N179)),points11,2,))</f>
        <v>0</v>
      </c>
      <c r="AC179">
        <f>IF(ISNA(VLOOKUP((CONCATENATE("Javelin Throw-",I179,"-",Input!O179)),points11,2,)),0,VLOOKUP((CONCATENATE("Javelin Throw-",I179,"-",Input!O179)),points11,2,))</f>
        <v>0</v>
      </c>
      <c r="AD179">
        <f t="shared" si="31"/>
        <v>0</v>
      </c>
      <c r="AE179" t="str">
        <f t="shared" si="32"/>
        <v xml:space="preserve"> </v>
      </c>
      <c r="AF179">
        <f t="shared" si="33"/>
        <v>0</v>
      </c>
    </row>
    <row r="180" spans="2:32" ht="15" thickBot="1" x14ac:dyDescent="0.4">
      <c r="B180" s="631"/>
      <c r="C180" s="520">
        <v>2</v>
      </c>
      <c r="D180" s="289">
        <v>15</v>
      </c>
      <c r="E180" s="387"/>
      <c r="F180" s="362"/>
      <c r="G180" s="388"/>
      <c r="H180" s="388"/>
      <c r="I180" s="388"/>
      <c r="J180" s="393"/>
      <c r="K180" s="388"/>
      <c r="L180" s="388"/>
      <c r="M180" s="388"/>
      <c r="N180" s="388"/>
      <c r="O180" s="503"/>
      <c r="P180" s="509">
        <f t="shared" si="23"/>
        <v>0</v>
      </c>
      <c r="Q180" s="445">
        <f t="shared" si="24"/>
        <v>0</v>
      </c>
      <c r="R180" s="445">
        <f t="shared" si="25"/>
        <v>0</v>
      </c>
      <c r="S180" s="445">
        <f t="shared" si="26"/>
        <v>0</v>
      </c>
      <c r="T180" s="445">
        <f t="shared" si="27"/>
        <v>0</v>
      </c>
      <c r="U180" s="445">
        <f t="shared" si="28"/>
        <v>0</v>
      </c>
      <c r="V180" s="445">
        <f t="shared" si="29"/>
        <v>0</v>
      </c>
      <c r="W180" s="446">
        <f t="shared" si="30"/>
        <v>0</v>
      </c>
      <c r="X180">
        <f>IF(ISNA(VLOOKUP((CONCATENATE("Standing Long Jump-",I180,"-",Input!J180)),points11,2,)),0,VLOOKUP((CONCATENATE("Standing Long Jump-",I180,"-",Input!J180)),points11,2,))</f>
        <v>0</v>
      </c>
      <c r="Y180">
        <f>IF(ISNA(VLOOKUP((CONCATENATE("Speed Bounce-",I180,"-",Input!K180)),points11,2,)),0,VLOOKUP((CONCATENATE("Speed Bounce-",I180,"-",Input!K180)),points11,2,))</f>
        <v>0</v>
      </c>
      <c r="Z180">
        <f>IF(ISNA(VLOOKUP((CONCATENATE("Target Throw-",I180,"-",Input!L180)),points11,2,)),0,VLOOKUP((CONCATENATE("Target Throw-",I180,"-",Input!L180)),points11,2,))</f>
        <v>0</v>
      </c>
      <c r="AA180">
        <f>IF(ISNA(VLOOKUP((CONCATENATE("Hi-Stepper-",I180,"-",Input!M180)),points11,2,)),0,VLOOKUP((CONCATENATE("Hi-Stepper-",I180,"-",Input!M180)),points11,2,))</f>
        <v>0</v>
      </c>
      <c r="AB180">
        <f>IF(ISNA(VLOOKUP((CONCATENATE("Chest Push-",I180,"-",Input!N180)),points11,2,)),0,VLOOKUP((CONCATENATE("Chest Push-",I180,"-",Input!N180)),points11,2,))</f>
        <v>0</v>
      </c>
      <c r="AC180">
        <f>IF(ISNA(VLOOKUP((CONCATENATE("Javelin Throw-",I180,"-",Input!O180)),points11,2,)),0,VLOOKUP((CONCATENATE("Javelin Throw-",I180,"-",Input!O180)),points11,2,))</f>
        <v>0</v>
      </c>
      <c r="AD180">
        <f t="shared" si="31"/>
        <v>0</v>
      </c>
      <c r="AE180" t="str">
        <f t="shared" si="32"/>
        <v xml:space="preserve"> </v>
      </c>
      <c r="AF180">
        <f t="shared" si="33"/>
        <v>0</v>
      </c>
    </row>
    <row r="181" spans="2:32" ht="15" thickBot="1" x14ac:dyDescent="0.4">
      <c r="B181" s="631"/>
      <c r="C181" s="520">
        <v>3</v>
      </c>
      <c r="D181" s="289">
        <v>15</v>
      </c>
      <c r="E181" s="387"/>
      <c r="F181" s="362"/>
      <c r="G181" s="388"/>
      <c r="H181" s="388"/>
      <c r="I181" s="388"/>
      <c r="J181" s="393"/>
      <c r="K181" s="388"/>
      <c r="L181" s="388"/>
      <c r="M181" s="388"/>
      <c r="N181" s="388"/>
      <c r="O181" s="503"/>
      <c r="P181" s="509">
        <f t="shared" si="23"/>
        <v>0</v>
      </c>
      <c r="Q181" s="445">
        <f t="shared" si="24"/>
        <v>0</v>
      </c>
      <c r="R181" s="445">
        <f t="shared" si="25"/>
        <v>0</v>
      </c>
      <c r="S181" s="445">
        <f t="shared" si="26"/>
        <v>0</v>
      </c>
      <c r="T181" s="445">
        <f t="shared" si="27"/>
        <v>0</v>
      </c>
      <c r="U181" s="445">
        <f t="shared" si="28"/>
        <v>0</v>
      </c>
      <c r="V181" s="445">
        <f t="shared" si="29"/>
        <v>0</v>
      </c>
      <c r="W181" s="446">
        <f t="shared" si="30"/>
        <v>0</v>
      </c>
      <c r="X181">
        <f>IF(ISNA(VLOOKUP((CONCATENATE("Standing Long Jump-",I181,"-",Input!J181)),points11,2,)),0,VLOOKUP((CONCATENATE("Standing Long Jump-",I181,"-",Input!J181)),points11,2,))</f>
        <v>0</v>
      </c>
      <c r="Y181">
        <f>IF(ISNA(VLOOKUP((CONCATENATE("Speed Bounce-",I181,"-",Input!K181)),points11,2,)),0,VLOOKUP((CONCATENATE("Speed Bounce-",I181,"-",Input!K181)),points11,2,))</f>
        <v>0</v>
      </c>
      <c r="Z181">
        <f>IF(ISNA(VLOOKUP((CONCATENATE("Target Throw-",I181,"-",Input!L181)),points11,2,)),0,VLOOKUP((CONCATENATE("Target Throw-",I181,"-",Input!L181)),points11,2,))</f>
        <v>0</v>
      </c>
      <c r="AA181">
        <f>IF(ISNA(VLOOKUP((CONCATENATE("Hi-Stepper-",I181,"-",Input!M181)),points11,2,)),0,VLOOKUP((CONCATENATE("Hi-Stepper-",I181,"-",Input!M181)),points11,2,))</f>
        <v>0</v>
      </c>
      <c r="AB181">
        <f>IF(ISNA(VLOOKUP((CONCATENATE("Chest Push-",I181,"-",Input!N181)),points11,2,)),0,VLOOKUP((CONCATENATE("Chest Push-",I181,"-",Input!N181)),points11,2,))</f>
        <v>0</v>
      </c>
      <c r="AC181">
        <f>IF(ISNA(VLOOKUP((CONCATENATE("Javelin Throw-",I181,"-",Input!O181)),points11,2,)),0,VLOOKUP((CONCATENATE("Javelin Throw-",I181,"-",Input!O181)),points11,2,))</f>
        <v>0</v>
      </c>
      <c r="AD181">
        <f t="shared" si="31"/>
        <v>0</v>
      </c>
      <c r="AE181" t="str">
        <f t="shared" si="32"/>
        <v xml:space="preserve"> </v>
      </c>
      <c r="AF181">
        <f t="shared" si="33"/>
        <v>0</v>
      </c>
    </row>
    <row r="182" spans="2:32" ht="15" thickBot="1" x14ac:dyDescent="0.4">
      <c r="B182" s="631"/>
      <c r="C182" s="520">
        <v>4</v>
      </c>
      <c r="D182" s="289">
        <v>15</v>
      </c>
      <c r="E182" s="387"/>
      <c r="F182" s="362"/>
      <c r="G182" s="388"/>
      <c r="H182" s="388"/>
      <c r="I182" s="388"/>
      <c r="J182" s="393"/>
      <c r="K182" s="388"/>
      <c r="L182" s="388"/>
      <c r="M182" s="388"/>
      <c r="N182" s="388"/>
      <c r="O182" s="503"/>
      <c r="P182" s="509">
        <f t="shared" si="23"/>
        <v>0</v>
      </c>
      <c r="Q182" s="445">
        <f t="shared" si="24"/>
        <v>0</v>
      </c>
      <c r="R182" s="445">
        <f t="shared" si="25"/>
        <v>0</v>
      </c>
      <c r="S182" s="445">
        <f t="shared" si="26"/>
        <v>0</v>
      </c>
      <c r="T182" s="445">
        <f t="shared" si="27"/>
        <v>0</v>
      </c>
      <c r="U182" s="445">
        <f t="shared" si="28"/>
        <v>0</v>
      </c>
      <c r="V182" s="445">
        <f t="shared" si="29"/>
        <v>0</v>
      </c>
      <c r="W182" s="446">
        <f t="shared" si="30"/>
        <v>0</v>
      </c>
      <c r="X182">
        <f>IF(ISNA(VLOOKUP((CONCATENATE("Standing Long Jump-",I182,"-",Input!J182)),points11,2,)),0,VLOOKUP((CONCATENATE("Standing Long Jump-",I182,"-",Input!J182)),points11,2,))</f>
        <v>0</v>
      </c>
      <c r="Y182">
        <f>IF(ISNA(VLOOKUP((CONCATENATE("Speed Bounce-",I182,"-",Input!K182)),points11,2,)),0,VLOOKUP((CONCATENATE("Speed Bounce-",I182,"-",Input!K182)),points11,2,))</f>
        <v>0</v>
      </c>
      <c r="Z182">
        <f>IF(ISNA(VLOOKUP((CONCATENATE("Target Throw-",I182,"-",Input!L182)),points11,2,)),0,VLOOKUP((CONCATENATE("Target Throw-",I182,"-",Input!L182)),points11,2,))</f>
        <v>0</v>
      </c>
      <c r="AA182">
        <f>IF(ISNA(VLOOKUP((CONCATENATE("Hi-Stepper-",I182,"-",Input!M182)),points11,2,)),0,VLOOKUP((CONCATENATE("Hi-Stepper-",I182,"-",Input!M182)),points11,2,))</f>
        <v>0</v>
      </c>
      <c r="AB182">
        <f>IF(ISNA(VLOOKUP((CONCATENATE("Chest Push-",I182,"-",Input!N182)),points11,2,)),0,VLOOKUP((CONCATENATE("Chest Push-",I182,"-",Input!N182)),points11,2,))</f>
        <v>0</v>
      </c>
      <c r="AC182">
        <f>IF(ISNA(VLOOKUP((CONCATENATE("Javelin Throw-",I182,"-",Input!O182)),points11,2,)),0,VLOOKUP((CONCATENATE("Javelin Throw-",I182,"-",Input!O182)),points11,2,))</f>
        <v>0</v>
      </c>
      <c r="AD182">
        <f t="shared" si="31"/>
        <v>0</v>
      </c>
      <c r="AE182" t="str">
        <f t="shared" si="32"/>
        <v xml:space="preserve"> </v>
      </c>
      <c r="AF182">
        <f t="shared" si="33"/>
        <v>0</v>
      </c>
    </row>
    <row r="183" spans="2:32" ht="15" thickBot="1" x14ac:dyDescent="0.4">
      <c r="B183" s="631"/>
      <c r="C183" s="520">
        <v>5</v>
      </c>
      <c r="D183" s="289">
        <v>15</v>
      </c>
      <c r="E183" s="387"/>
      <c r="F183" s="362"/>
      <c r="G183" s="388"/>
      <c r="H183" s="388"/>
      <c r="I183" s="388"/>
      <c r="J183" s="393"/>
      <c r="K183" s="388"/>
      <c r="L183" s="388"/>
      <c r="M183" s="388"/>
      <c r="N183" s="388"/>
      <c r="O183" s="503"/>
      <c r="P183" s="509">
        <f t="shared" si="23"/>
        <v>0</v>
      </c>
      <c r="Q183" s="445">
        <f t="shared" si="24"/>
        <v>0</v>
      </c>
      <c r="R183" s="445">
        <f t="shared" si="25"/>
        <v>0</v>
      </c>
      <c r="S183" s="445">
        <f t="shared" si="26"/>
        <v>0</v>
      </c>
      <c r="T183" s="445">
        <f t="shared" si="27"/>
        <v>0</v>
      </c>
      <c r="U183" s="445">
        <f t="shared" si="28"/>
        <v>0</v>
      </c>
      <c r="V183" s="445">
        <f t="shared" si="29"/>
        <v>0</v>
      </c>
      <c r="W183" s="446">
        <f t="shared" si="30"/>
        <v>0</v>
      </c>
      <c r="X183">
        <f>IF(ISNA(VLOOKUP((CONCATENATE("Standing Long Jump-",I183,"-",Input!J183)),points11,2,)),0,VLOOKUP((CONCATENATE("Standing Long Jump-",I183,"-",Input!J183)),points11,2,))</f>
        <v>0</v>
      </c>
      <c r="Y183">
        <f>IF(ISNA(VLOOKUP((CONCATENATE("Speed Bounce-",I183,"-",Input!K183)),points11,2,)),0,VLOOKUP((CONCATENATE("Speed Bounce-",I183,"-",Input!K183)),points11,2,))</f>
        <v>0</v>
      </c>
      <c r="Z183">
        <f>IF(ISNA(VLOOKUP((CONCATENATE("Target Throw-",I183,"-",Input!L183)),points11,2,)),0,VLOOKUP((CONCATENATE("Target Throw-",I183,"-",Input!L183)),points11,2,))</f>
        <v>0</v>
      </c>
      <c r="AA183">
        <f>IF(ISNA(VLOOKUP((CONCATENATE("Hi-Stepper-",I183,"-",Input!M183)),points11,2,)),0,VLOOKUP((CONCATENATE("Hi-Stepper-",I183,"-",Input!M183)),points11,2,))</f>
        <v>0</v>
      </c>
      <c r="AB183">
        <f>IF(ISNA(VLOOKUP((CONCATENATE("Chest Push-",I183,"-",Input!N183)),points11,2,)),0,VLOOKUP((CONCATENATE("Chest Push-",I183,"-",Input!N183)),points11,2,))</f>
        <v>0</v>
      </c>
      <c r="AC183">
        <f>IF(ISNA(VLOOKUP((CONCATENATE("Javelin Throw-",I183,"-",Input!O183)),points11,2,)),0,VLOOKUP((CONCATENATE("Javelin Throw-",I183,"-",Input!O183)),points11,2,))</f>
        <v>0</v>
      </c>
      <c r="AD183">
        <f t="shared" si="31"/>
        <v>0</v>
      </c>
      <c r="AE183" t="str">
        <f t="shared" si="32"/>
        <v xml:space="preserve"> </v>
      </c>
      <c r="AF183">
        <f t="shared" si="33"/>
        <v>0</v>
      </c>
    </row>
    <row r="184" spans="2:32" ht="15" thickBot="1" x14ac:dyDescent="0.4">
      <c r="B184" s="631"/>
      <c r="C184" s="520">
        <v>6</v>
      </c>
      <c r="D184" s="289">
        <v>15</v>
      </c>
      <c r="E184" s="387"/>
      <c r="F184" s="362"/>
      <c r="G184" s="388"/>
      <c r="H184" s="388"/>
      <c r="I184" s="388"/>
      <c r="J184" s="393"/>
      <c r="K184" s="388"/>
      <c r="L184" s="388"/>
      <c r="M184" s="388"/>
      <c r="N184" s="388"/>
      <c r="O184" s="503"/>
      <c r="P184" s="509">
        <f t="shared" si="23"/>
        <v>0</v>
      </c>
      <c r="Q184" s="445">
        <f t="shared" si="24"/>
        <v>0</v>
      </c>
      <c r="R184" s="445">
        <f t="shared" si="25"/>
        <v>0</v>
      </c>
      <c r="S184" s="445">
        <f t="shared" si="26"/>
        <v>0</v>
      </c>
      <c r="T184" s="445">
        <f t="shared" si="27"/>
        <v>0</v>
      </c>
      <c r="U184" s="445">
        <f t="shared" si="28"/>
        <v>0</v>
      </c>
      <c r="V184" s="445">
        <f t="shared" si="29"/>
        <v>0</v>
      </c>
      <c r="W184" s="446">
        <f t="shared" si="30"/>
        <v>0</v>
      </c>
      <c r="X184">
        <f>IF(ISNA(VLOOKUP((CONCATENATE("Standing Long Jump-",I184,"-",Input!J184)),points11,2,)),0,VLOOKUP((CONCATENATE("Standing Long Jump-",I184,"-",Input!J184)),points11,2,))</f>
        <v>0</v>
      </c>
      <c r="Y184">
        <f>IF(ISNA(VLOOKUP((CONCATENATE("Speed Bounce-",I184,"-",Input!K184)),points11,2,)),0,VLOOKUP((CONCATENATE("Speed Bounce-",I184,"-",Input!K184)),points11,2,))</f>
        <v>0</v>
      </c>
      <c r="Z184">
        <f>IF(ISNA(VLOOKUP((CONCATENATE("Target Throw-",I184,"-",Input!L184)),points11,2,)),0,VLOOKUP((CONCATENATE("Target Throw-",I184,"-",Input!L184)),points11,2,))</f>
        <v>0</v>
      </c>
      <c r="AA184">
        <f>IF(ISNA(VLOOKUP((CONCATENATE("Hi-Stepper-",I184,"-",Input!M184)),points11,2,)),0,VLOOKUP((CONCATENATE("Hi-Stepper-",I184,"-",Input!M184)),points11,2,))</f>
        <v>0</v>
      </c>
      <c r="AB184">
        <f>IF(ISNA(VLOOKUP((CONCATENATE("Chest Push-",I184,"-",Input!N184)),points11,2,)),0,VLOOKUP((CONCATENATE("Chest Push-",I184,"-",Input!N184)),points11,2,))</f>
        <v>0</v>
      </c>
      <c r="AC184">
        <f>IF(ISNA(VLOOKUP((CONCATENATE("Javelin Throw-",I184,"-",Input!O184)),points11,2,)),0,VLOOKUP((CONCATENATE("Javelin Throw-",I184,"-",Input!O184)),points11,2,))</f>
        <v>0</v>
      </c>
      <c r="AD184">
        <f t="shared" si="31"/>
        <v>0</v>
      </c>
      <c r="AE184" t="str">
        <f t="shared" si="32"/>
        <v xml:space="preserve"> </v>
      </c>
      <c r="AF184">
        <f t="shared" si="33"/>
        <v>0</v>
      </c>
    </row>
    <row r="185" spans="2:32" ht="15" thickBot="1" x14ac:dyDescent="0.4">
      <c r="B185" s="631"/>
      <c r="C185" s="520">
        <v>7</v>
      </c>
      <c r="D185" s="289">
        <v>15</v>
      </c>
      <c r="E185" s="387"/>
      <c r="F185" s="362"/>
      <c r="G185" s="388"/>
      <c r="H185" s="388"/>
      <c r="I185" s="388"/>
      <c r="J185" s="393"/>
      <c r="K185" s="388"/>
      <c r="L185" s="388"/>
      <c r="M185" s="388"/>
      <c r="N185" s="388"/>
      <c r="O185" s="503"/>
      <c r="P185" s="509">
        <f t="shared" si="23"/>
        <v>0</v>
      </c>
      <c r="Q185" s="445">
        <f t="shared" si="24"/>
        <v>0</v>
      </c>
      <c r="R185" s="445">
        <f t="shared" si="25"/>
        <v>0</v>
      </c>
      <c r="S185" s="445">
        <f t="shared" si="26"/>
        <v>0</v>
      </c>
      <c r="T185" s="445">
        <f t="shared" si="27"/>
        <v>0</v>
      </c>
      <c r="U185" s="445">
        <f t="shared" si="28"/>
        <v>0</v>
      </c>
      <c r="V185" s="445">
        <f t="shared" si="29"/>
        <v>0</v>
      </c>
      <c r="W185" s="446">
        <f t="shared" si="30"/>
        <v>0</v>
      </c>
      <c r="X185">
        <f>IF(ISNA(VLOOKUP((CONCATENATE("Standing Long Jump-",I185,"-",Input!J185)),points11,2,)),0,VLOOKUP((CONCATENATE("Standing Long Jump-",I185,"-",Input!J185)),points11,2,))</f>
        <v>0</v>
      </c>
      <c r="Y185">
        <f>IF(ISNA(VLOOKUP((CONCATENATE("Speed Bounce-",I185,"-",Input!K185)),points11,2,)),0,VLOOKUP((CONCATENATE("Speed Bounce-",I185,"-",Input!K185)),points11,2,))</f>
        <v>0</v>
      </c>
      <c r="Z185">
        <f>IF(ISNA(VLOOKUP((CONCATENATE("Target Throw-",I185,"-",Input!L185)),points11,2,)),0,VLOOKUP((CONCATENATE("Target Throw-",I185,"-",Input!L185)),points11,2,))</f>
        <v>0</v>
      </c>
      <c r="AA185">
        <f>IF(ISNA(VLOOKUP((CONCATENATE("Hi-Stepper-",I185,"-",Input!M185)),points11,2,)),0,VLOOKUP((CONCATENATE("Hi-Stepper-",I185,"-",Input!M185)),points11,2,))</f>
        <v>0</v>
      </c>
      <c r="AB185">
        <f>IF(ISNA(VLOOKUP((CONCATENATE("Chest Push-",I185,"-",Input!N185)),points11,2,)),0,VLOOKUP((CONCATENATE("Chest Push-",I185,"-",Input!N185)),points11,2,))</f>
        <v>0</v>
      </c>
      <c r="AC185">
        <f>IF(ISNA(VLOOKUP((CONCATENATE("Javelin Throw-",I185,"-",Input!O185)),points11,2,)),0,VLOOKUP((CONCATENATE("Javelin Throw-",I185,"-",Input!O185)),points11,2,))</f>
        <v>0</v>
      </c>
      <c r="AD185">
        <f t="shared" si="31"/>
        <v>0</v>
      </c>
      <c r="AE185" t="str">
        <f t="shared" si="32"/>
        <v xml:space="preserve"> </v>
      </c>
      <c r="AF185">
        <f t="shared" si="33"/>
        <v>0</v>
      </c>
    </row>
    <row r="186" spans="2:32" ht="15" thickBot="1" x14ac:dyDescent="0.4">
      <c r="B186" s="631"/>
      <c r="C186" s="520">
        <v>8</v>
      </c>
      <c r="D186" s="289">
        <v>15</v>
      </c>
      <c r="E186" s="387"/>
      <c r="F186" s="362"/>
      <c r="G186" s="388"/>
      <c r="H186" s="388"/>
      <c r="I186" s="388"/>
      <c r="J186" s="393"/>
      <c r="K186" s="388"/>
      <c r="L186" s="388"/>
      <c r="M186" s="388"/>
      <c r="N186" s="388"/>
      <c r="O186" s="503"/>
      <c r="P186" s="509">
        <f t="shared" si="23"/>
        <v>0</v>
      </c>
      <c r="Q186" s="445">
        <f t="shared" si="24"/>
        <v>0</v>
      </c>
      <c r="R186" s="445">
        <f t="shared" si="25"/>
        <v>0</v>
      </c>
      <c r="S186" s="445">
        <f t="shared" si="26"/>
        <v>0</v>
      </c>
      <c r="T186" s="445">
        <f t="shared" si="27"/>
        <v>0</v>
      </c>
      <c r="U186" s="445">
        <f t="shared" si="28"/>
        <v>0</v>
      </c>
      <c r="V186" s="445">
        <f t="shared" si="29"/>
        <v>0</v>
      </c>
      <c r="W186" s="446">
        <f t="shared" si="30"/>
        <v>0</v>
      </c>
      <c r="X186">
        <f>IF(ISNA(VLOOKUP((CONCATENATE("Standing Long Jump-",I186,"-",Input!J186)),points11,2,)),0,VLOOKUP((CONCATENATE("Standing Long Jump-",I186,"-",Input!J186)),points11,2,))</f>
        <v>0</v>
      </c>
      <c r="Y186">
        <f>IF(ISNA(VLOOKUP((CONCATENATE("Speed Bounce-",I186,"-",Input!K186)),points11,2,)),0,VLOOKUP((CONCATENATE("Speed Bounce-",I186,"-",Input!K186)),points11,2,))</f>
        <v>0</v>
      </c>
      <c r="Z186">
        <f>IF(ISNA(VLOOKUP((CONCATENATE("Target Throw-",I186,"-",Input!L186)),points11,2,)),0,VLOOKUP((CONCATENATE("Target Throw-",I186,"-",Input!L186)),points11,2,))</f>
        <v>0</v>
      </c>
      <c r="AA186">
        <f>IF(ISNA(VLOOKUP((CONCATENATE("Hi-Stepper-",I186,"-",Input!M186)),points11,2,)),0,VLOOKUP((CONCATENATE("Hi-Stepper-",I186,"-",Input!M186)),points11,2,))</f>
        <v>0</v>
      </c>
      <c r="AB186">
        <f>IF(ISNA(VLOOKUP((CONCATENATE("Chest Push-",I186,"-",Input!N186)),points11,2,)),0,VLOOKUP((CONCATENATE("Chest Push-",I186,"-",Input!N186)),points11,2,))</f>
        <v>0</v>
      </c>
      <c r="AC186">
        <f>IF(ISNA(VLOOKUP((CONCATENATE("Javelin Throw-",I186,"-",Input!O186)),points11,2,)),0,VLOOKUP((CONCATENATE("Javelin Throw-",I186,"-",Input!O186)),points11,2,))</f>
        <v>0</v>
      </c>
      <c r="AD186">
        <f t="shared" si="31"/>
        <v>0</v>
      </c>
      <c r="AE186" t="str">
        <f t="shared" si="32"/>
        <v xml:space="preserve"> </v>
      </c>
      <c r="AF186">
        <f t="shared" si="33"/>
        <v>0</v>
      </c>
    </row>
    <row r="187" spans="2:32" ht="15" thickBot="1" x14ac:dyDescent="0.4">
      <c r="B187" s="631"/>
      <c r="C187" s="520">
        <v>9</v>
      </c>
      <c r="D187" s="289">
        <v>15</v>
      </c>
      <c r="E187" s="387"/>
      <c r="F187" s="362"/>
      <c r="G187" s="388"/>
      <c r="H187" s="388"/>
      <c r="I187" s="388"/>
      <c r="J187" s="393"/>
      <c r="K187" s="388"/>
      <c r="L187" s="388"/>
      <c r="M187" s="388"/>
      <c r="N187" s="388"/>
      <c r="O187" s="503"/>
      <c r="P187" s="509">
        <f t="shared" si="23"/>
        <v>0</v>
      </c>
      <c r="Q187" s="445">
        <f t="shared" si="24"/>
        <v>0</v>
      </c>
      <c r="R187" s="445">
        <f t="shared" si="25"/>
        <v>0</v>
      </c>
      <c r="S187" s="445">
        <f t="shared" si="26"/>
        <v>0</v>
      </c>
      <c r="T187" s="445">
        <f t="shared" si="27"/>
        <v>0</v>
      </c>
      <c r="U187" s="445">
        <f t="shared" si="28"/>
        <v>0</v>
      </c>
      <c r="V187" s="445">
        <f t="shared" si="29"/>
        <v>0</v>
      </c>
      <c r="W187" s="446">
        <f t="shared" si="30"/>
        <v>0</v>
      </c>
      <c r="X187">
        <f>IF(ISNA(VLOOKUP((CONCATENATE("Standing Long Jump-",I187,"-",Input!J187)),points11,2,)),0,VLOOKUP((CONCATENATE("Standing Long Jump-",I187,"-",Input!J187)),points11,2,))</f>
        <v>0</v>
      </c>
      <c r="Y187">
        <f>IF(ISNA(VLOOKUP((CONCATENATE("Speed Bounce-",I187,"-",Input!K187)),points11,2,)),0,VLOOKUP((CONCATENATE("Speed Bounce-",I187,"-",Input!K187)),points11,2,))</f>
        <v>0</v>
      </c>
      <c r="Z187">
        <f>IF(ISNA(VLOOKUP((CONCATENATE("Target Throw-",I187,"-",Input!L187)),points11,2,)),0,VLOOKUP((CONCATENATE("Target Throw-",I187,"-",Input!L187)),points11,2,))</f>
        <v>0</v>
      </c>
      <c r="AA187">
        <f>IF(ISNA(VLOOKUP((CONCATENATE("Hi-Stepper-",I187,"-",Input!M187)),points11,2,)),0,VLOOKUP((CONCATENATE("Hi-Stepper-",I187,"-",Input!M187)),points11,2,))</f>
        <v>0</v>
      </c>
      <c r="AB187">
        <f>IF(ISNA(VLOOKUP((CONCATENATE("Chest Push-",I187,"-",Input!N187)),points11,2,)),0,VLOOKUP((CONCATENATE("Chest Push-",I187,"-",Input!N187)),points11,2,))</f>
        <v>0</v>
      </c>
      <c r="AC187">
        <f>IF(ISNA(VLOOKUP((CONCATENATE("Javelin Throw-",I187,"-",Input!O187)),points11,2,)),0,VLOOKUP((CONCATENATE("Javelin Throw-",I187,"-",Input!O187)),points11,2,))</f>
        <v>0</v>
      </c>
      <c r="AD187">
        <f t="shared" si="31"/>
        <v>0</v>
      </c>
      <c r="AE187" t="str">
        <f t="shared" si="32"/>
        <v xml:space="preserve"> </v>
      </c>
      <c r="AF187">
        <f t="shared" si="33"/>
        <v>0</v>
      </c>
    </row>
    <row r="188" spans="2:32" ht="15" thickBot="1" x14ac:dyDescent="0.4">
      <c r="B188" s="631"/>
      <c r="C188" s="520">
        <v>10</v>
      </c>
      <c r="D188" s="289">
        <v>15</v>
      </c>
      <c r="E188" s="387"/>
      <c r="F188" s="362"/>
      <c r="G188" s="388"/>
      <c r="H188" s="388"/>
      <c r="I188" s="388"/>
      <c r="J188" s="393"/>
      <c r="K188" s="388"/>
      <c r="L188" s="388"/>
      <c r="M188" s="388"/>
      <c r="N188" s="388"/>
      <c r="O188" s="503"/>
      <c r="P188" s="509">
        <f t="shared" si="23"/>
        <v>0</v>
      </c>
      <c r="Q188" s="445">
        <f t="shared" si="24"/>
        <v>0</v>
      </c>
      <c r="R188" s="445">
        <f t="shared" si="25"/>
        <v>0</v>
      </c>
      <c r="S188" s="445">
        <f t="shared" si="26"/>
        <v>0</v>
      </c>
      <c r="T188" s="445">
        <f t="shared" si="27"/>
        <v>0</v>
      </c>
      <c r="U188" s="445">
        <f t="shared" si="28"/>
        <v>0</v>
      </c>
      <c r="V188" s="445">
        <f t="shared" si="29"/>
        <v>0</v>
      </c>
      <c r="W188" s="446">
        <f t="shared" si="30"/>
        <v>0</v>
      </c>
      <c r="X188">
        <f>IF(ISNA(VLOOKUP((CONCATENATE("Standing Long Jump-",I188,"-",Input!J188)),points11,2,)),0,VLOOKUP((CONCATENATE("Standing Long Jump-",I188,"-",Input!J188)),points11,2,))</f>
        <v>0</v>
      </c>
      <c r="Y188">
        <f>IF(ISNA(VLOOKUP((CONCATENATE("Speed Bounce-",I188,"-",Input!K188)),points11,2,)),0,VLOOKUP((CONCATENATE("Speed Bounce-",I188,"-",Input!K188)),points11,2,))</f>
        <v>0</v>
      </c>
      <c r="Z188">
        <f>IF(ISNA(VLOOKUP((CONCATENATE("Target Throw-",I188,"-",Input!L188)),points11,2,)),0,VLOOKUP((CONCATENATE("Target Throw-",I188,"-",Input!L188)),points11,2,))</f>
        <v>0</v>
      </c>
      <c r="AA188">
        <f>IF(ISNA(VLOOKUP((CONCATENATE("Hi-Stepper-",I188,"-",Input!M188)),points11,2,)),0,VLOOKUP((CONCATENATE("Hi-Stepper-",I188,"-",Input!M188)),points11,2,))</f>
        <v>0</v>
      </c>
      <c r="AB188">
        <f>IF(ISNA(VLOOKUP((CONCATENATE("Chest Push-",I188,"-",Input!N188)),points11,2,)),0,VLOOKUP((CONCATENATE("Chest Push-",I188,"-",Input!N188)),points11,2,))</f>
        <v>0</v>
      </c>
      <c r="AC188">
        <f>IF(ISNA(VLOOKUP((CONCATENATE("Javelin Throw-",I188,"-",Input!O188)),points11,2,)),0,VLOOKUP((CONCATENATE("Javelin Throw-",I188,"-",Input!O188)),points11,2,))</f>
        <v>0</v>
      </c>
      <c r="AD188">
        <f t="shared" si="31"/>
        <v>0</v>
      </c>
      <c r="AE188" t="str">
        <f t="shared" si="32"/>
        <v xml:space="preserve"> </v>
      </c>
      <c r="AF188">
        <f t="shared" si="33"/>
        <v>0</v>
      </c>
    </row>
    <row r="189" spans="2:32" ht="15" thickBot="1" x14ac:dyDescent="0.4">
      <c r="B189" s="631"/>
      <c r="C189" s="520">
        <v>11</v>
      </c>
      <c r="D189" s="289">
        <v>15</v>
      </c>
      <c r="E189" s="387"/>
      <c r="F189" s="362"/>
      <c r="G189" s="388"/>
      <c r="H189" s="388"/>
      <c r="I189" s="388"/>
      <c r="J189" s="393"/>
      <c r="K189" s="388"/>
      <c r="L189" s="388"/>
      <c r="M189" s="388"/>
      <c r="N189" s="388"/>
      <c r="O189" s="503"/>
      <c r="P189" s="509">
        <f t="shared" si="23"/>
        <v>0</v>
      </c>
      <c r="Q189" s="445">
        <f t="shared" si="24"/>
        <v>0</v>
      </c>
      <c r="R189" s="445">
        <f t="shared" si="25"/>
        <v>0</v>
      </c>
      <c r="S189" s="445">
        <f t="shared" si="26"/>
        <v>0</v>
      </c>
      <c r="T189" s="445">
        <f t="shared" si="27"/>
        <v>0</v>
      </c>
      <c r="U189" s="445">
        <f t="shared" si="28"/>
        <v>0</v>
      </c>
      <c r="V189" s="445">
        <f t="shared" si="29"/>
        <v>0</v>
      </c>
      <c r="W189" s="446">
        <f t="shared" si="30"/>
        <v>0</v>
      </c>
      <c r="X189">
        <f>IF(ISNA(VLOOKUP((CONCATENATE("Standing Long Jump-",I189,"-",Input!J189)),points11,2,)),0,VLOOKUP((CONCATENATE("Standing Long Jump-",I189,"-",Input!J189)),points11,2,))</f>
        <v>0</v>
      </c>
      <c r="Y189">
        <f>IF(ISNA(VLOOKUP((CONCATENATE("Speed Bounce-",I189,"-",Input!K189)),points11,2,)),0,VLOOKUP((CONCATENATE("Speed Bounce-",I189,"-",Input!K189)),points11,2,))</f>
        <v>0</v>
      </c>
      <c r="Z189">
        <f>IF(ISNA(VLOOKUP((CONCATENATE("Target Throw-",I189,"-",Input!L189)),points11,2,)),0,VLOOKUP((CONCATENATE("Target Throw-",I189,"-",Input!L189)),points11,2,))</f>
        <v>0</v>
      </c>
      <c r="AA189">
        <f>IF(ISNA(VLOOKUP((CONCATENATE("Hi-Stepper-",I189,"-",Input!M189)),points11,2,)),0,VLOOKUP((CONCATENATE("Hi-Stepper-",I189,"-",Input!M189)),points11,2,))</f>
        <v>0</v>
      </c>
      <c r="AB189">
        <f>IF(ISNA(VLOOKUP((CONCATENATE("Chest Push-",I189,"-",Input!N189)),points11,2,)),0,VLOOKUP((CONCATENATE("Chest Push-",I189,"-",Input!N189)),points11,2,))</f>
        <v>0</v>
      </c>
      <c r="AC189">
        <f>IF(ISNA(VLOOKUP((CONCATENATE("Javelin Throw-",I189,"-",Input!O189)),points11,2,)),0,VLOOKUP((CONCATENATE("Javelin Throw-",I189,"-",Input!O189)),points11,2,))</f>
        <v>0</v>
      </c>
      <c r="AD189">
        <f t="shared" si="31"/>
        <v>0</v>
      </c>
      <c r="AE189" t="str">
        <f t="shared" si="32"/>
        <v xml:space="preserve"> </v>
      </c>
      <c r="AF189">
        <f t="shared" si="33"/>
        <v>0</v>
      </c>
    </row>
    <row r="190" spans="2:32" ht="15" thickBot="1" x14ac:dyDescent="0.4">
      <c r="B190" s="631"/>
      <c r="C190" s="520">
        <v>12</v>
      </c>
      <c r="D190" s="289">
        <v>15</v>
      </c>
      <c r="E190" s="394"/>
      <c r="F190" s="395"/>
      <c r="G190" s="396"/>
      <c r="H190" s="396"/>
      <c r="I190" s="396"/>
      <c r="J190" s="397"/>
      <c r="K190" s="396"/>
      <c r="L190" s="396"/>
      <c r="M190" s="396"/>
      <c r="N190" s="396"/>
      <c r="O190" s="506"/>
      <c r="P190" s="510">
        <f t="shared" ref="P190:P248" si="34">IF(X190=0,0,X190)</f>
        <v>0</v>
      </c>
      <c r="Q190" s="447">
        <f t="shared" ref="Q190:Q248" si="35">IF(Y190=0,0,Y190)</f>
        <v>0</v>
      </c>
      <c r="R190" s="447">
        <f t="shared" ref="R190:R248" si="36">IF(Z190=0,0,Z190)</f>
        <v>0</v>
      </c>
      <c r="S190" s="447">
        <f t="shared" ref="S190:S248" si="37">IF(AA190=0,0,AA190)</f>
        <v>0</v>
      </c>
      <c r="T190" s="447">
        <f t="shared" ref="T190:T248" si="38">IF(AB190=0,0,AB190)</f>
        <v>0</v>
      </c>
      <c r="U190" s="447">
        <f t="shared" ref="U190:U248" si="39">IF(AC190=0,0,AC190)</f>
        <v>0</v>
      </c>
      <c r="V190" s="447">
        <f t="shared" ref="V190:V248" si="40">IF(AD190=0,0,AD190)</f>
        <v>0</v>
      </c>
      <c r="W190" s="448">
        <f t="shared" ref="W190:W248" si="41">IF(AF190=0,0,AF190)</f>
        <v>0</v>
      </c>
      <c r="X190">
        <f>IF(ISNA(VLOOKUP((CONCATENATE("Standing Long Jump-",I190,"-",Input!J190)),points11,2,)),0,VLOOKUP((CONCATENATE("Standing Long Jump-",I190,"-",Input!J190)),points11,2,))</f>
        <v>0</v>
      </c>
      <c r="Y190">
        <f>IF(ISNA(VLOOKUP((CONCATENATE("Speed Bounce-",I190,"-",Input!K190)),points11,2,)),0,VLOOKUP((CONCATENATE("Speed Bounce-",I190,"-",Input!K190)),points11,2,))</f>
        <v>0</v>
      </c>
      <c r="Z190">
        <f>IF(ISNA(VLOOKUP((CONCATENATE("Target Throw-",I190,"-",Input!L190)),points11,2,)),0,VLOOKUP((CONCATENATE("Target Throw-",I190,"-",Input!L190)),points11,2,))</f>
        <v>0</v>
      </c>
      <c r="AA190">
        <f>IF(ISNA(VLOOKUP((CONCATENATE("Hi-Stepper-",I190,"-",Input!M190)),points11,2,)),0,VLOOKUP((CONCATENATE("Hi-Stepper-",I190,"-",Input!M190)),points11,2,))</f>
        <v>0</v>
      </c>
      <c r="AB190">
        <f>IF(ISNA(VLOOKUP((CONCATENATE("Chest Push-",I190,"-",Input!N190)),points11,2,)),0,VLOOKUP((CONCATENATE("Chest Push-",I190,"-",Input!N190)),points11,2,))</f>
        <v>0</v>
      </c>
      <c r="AC190">
        <f>IF(ISNA(VLOOKUP((CONCATENATE("Javelin Throw-",I190,"-",Input!O190)),points11,2,)),0,VLOOKUP((CONCATENATE("Javelin Throw-",I190,"-",Input!O190)),points11,2,))</f>
        <v>0</v>
      </c>
      <c r="AD190">
        <f t="shared" ref="AD190:AD248" si="42">IF(I190&lt;3,SUM(Y190:AC190),IF(I190&gt;2,LARGE(X190:AC190,1)+LARGE(X190:AC190,2)+LARGE(X190:AC190,3)+LARGE(X190:AC190,4)+LARGE(X190:AC190,5)," "))</f>
        <v>0</v>
      </c>
      <c r="AE190" t="str">
        <f t="shared" ref="AE190:AE248" si="43">IF(F190=0," ",IF(F190&lt;7,"P",IF(F190&gt;6,"S"," ")))</f>
        <v xml:space="preserve"> </v>
      </c>
      <c r="AF190">
        <f t="shared" si="33"/>
        <v>0</v>
      </c>
    </row>
    <row r="191" spans="2:32" ht="15" thickBot="1" x14ac:dyDescent="0.4">
      <c r="B191" s="631" t="str">
        <f>'Competition Menu'!E16</f>
        <v>Team 16</v>
      </c>
      <c r="C191" s="520">
        <v>1</v>
      </c>
      <c r="D191" s="289">
        <v>16</v>
      </c>
      <c r="E191" s="421"/>
      <c r="F191" s="407"/>
      <c r="G191" s="422"/>
      <c r="H191" s="422"/>
      <c r="I191" s="422"/>
      <c r="J191" s="431"/>
      <c r="K191" s="422"/>
      <c r="L191" s="422"/>
      <c r="M191" s="422"/>
      <c r="N191" s="422"/>
      <c r="O191" s="507"/>
      <c r="P191" s="511">
        <f t="shared" si="34"/>
        <v>0</v>
      </c>
      <c r="Q191" s="449">
        <f t="shared" si="35"/>
        <v>0</v>
      </c>
      <c r="R191" s="449">
        <f t="shared" si="36"/>
        <v>0</v>
      </c>
      <c r="S191" s="449">
        <f t="shared" si="37"/>
        <v>0</v>
      </c>
      <c r="T191" s="449">
        <f t="shared" si="38"/>
        <v>0</v>
      </c>
      <c r="U191" s="449">
        <f t="shared" si="39"/>
        <v>0</v>
      </c>
      <c r="V191" s="449">
        <f t="shared" si="40"/>
        <v>0</v>
      </c>
      <c r="W191" s="450">
        <f t="shared" si="41"/>
        <v>0</v>
      </c>
      <c r="X191">
        <f>IF(ISNA(VLOOKUP((CONCATENATE("Standing Long Jump-",I191,"-",Input!J191)),points11,2,)),0,VLOOKUP((CONCATENATE("Standing Long Jump-",I191,"-",Input!J191)),points11,2,))</f>
        <v>0</v>
      </c>
      <c r="Y191">
        <f>IF(ISNA(VLOOKUP((CONCATENATE("Speed Bounce-",I191,"-",Input!K191)),points11,2,)),0,VLOOKUP((CONCATENATE("Speed Bounce-",I191,"-",Input!K191)),points11,2,))</f>
        <v>0</v>
      </c>
      <c r="Z191">
        <f>IF(ISNA(VLOOKUP((CONCATENATE("Target Throw-",I191,"-",Input!L191)),points11,2,)),0,VLOOKUP((CONCATENATE("Target Throw-",I191,"-",Input!L191)),points11,2,))</f>
        <v>0</v>
      </c>
      <c r="AA191">
        <f>IF(ISNA(VLOOKUP((CONCATENATE("Hi-Stepper-",I191,"-",Input!M191)),points11,2,)),0,VLOOKUP((CONCATENATE("Hi-Stepper-",I191,"-",Input!M191)),points11,2,))</f>
        <v>0</v>
      </c>
      <c r="AB191">
        <f>IF(ISNA(VLOOKUP((CONCATENATE("Chest Push-",I191,"-",Input!N191)),points11,2,)),0,VLOOKUP((CONCATENATE("Chest Push-",I191,"-",Input!N191)),points11,2,))</f>
        <v>0</v>
      </c>
      <c r="AC191">
        <f>IF(ISNA(VLOOKUP((CONCATENATE("Javelin Throw-",I191,"-",Input!O191)),points11,2,)),0,VLOOKUP((CONCATENATE("Javelin Throw-",I191,"-",Input!O191)),points11,2,))</f>
        <v>0</v>
      </c>
      <c r="AD191">
        <f t="shared" si="42"/>
        <v>0</v>
      </c>
      <c r="AE191" t="str">
        <f t="shared" si="43"/>
        <v xml:space="preserve"> </v>
      </c>
      <c r="AF191">
        <f t="shared" si="33"/>
        <v>0</v>
      </c>
    </row>
    <row r="192" spans="2:32" ht="15" thickBot="1" x14ac:dyDescent="0.4">
      <c r="B192" s="631"/>
      <c r="C192" s="520">
        <v>2</v>
      </c>
      <c r="D192" s="289">
        <v>16</v>
      </c>
      <c r="E192" s="387"/>
      <c r="F192" s="362"/>
      <c r="G192" s="388"/>
      <c r="H192" s="388"/>
      <c r="I192" s="388"/>
      <c r="J192" s="393"/>
      <c r="K192" s="388"/>
      <c r="L192" s="388"/>
      <c r="M192" s="388"/>
      <c r="N192" s="388"/>
      <c r="O192" s="503"/>
      <c r="P192" s="509">
        <f t="shared" si="34"/>
        <v>0</v>
      </c>
      <c r="Q192" s="445">
        <f t="shared" si="35"/>
        <v>0</v>
      </c>
      <c r="R192" s="445">
        <f t="shared" si="36"/>
        <v>0</v>
      </c>
      <c r="S192" s="445">
        <f t="shared" si="37"/>
        <v>0</v>
      </c>
      <c r="T192" s="445">
        <f t="shared" si="38"/>
        <v>0</v>
      </c>
      <c r="U192" s="445">
        <f t="shared" si="39"/>
        <v>0</v>
      </c>
      <c r="V192" s="445">
        <f t="shared" si="40"/>
        <v>0</v>
      </c>
      <c r="W192" s="446">
        <f t="shared" si="41"/>
        <v>0</v>
      </c>
      <c r="X192">
        <f>IF(ISNA(VLOOKUP((CONCATENATE("Standing Long Jump-",I192,"-",Input!J192)),points11,2,)),0,VLOOKUP((CONCATENATE("Standing Long Jump-",I192,"-",Input!J192)),points11,2,))</f>
        <v>0</v>
      </c>
      <c r="Y192">
        <f>IF(ISNA(VLOOKUP((CONCATENATE("Speed Bounce-",I192,"-",Input!K192)),points11,2,)),0,VLOOKUP((CONCATENATE("Speed Bounce-",I192,"-",Input!K192)),points11,2,))</f>
        <v>0</v>
      </c>
      <c r="Z192">
        <f>IF(ISNA(VLOOKUP((CONCATENATE("Target Throw-",I192,"-",Input!L192)),points11,2,)),0,VLOOKUP((CONCATENATE("Target Throw-",I192,"-",Input!L192)),points11,2,))</f>
        <v>0</v>
      </c>
      <c r="AA192">
        <f>IF(ISNA(VLOOKUP((CONCATENATE("Hi-Stepper-",I192,"-",Input!M192)),points11,2,)),0,VLOOKUP((CONCATENATE("Hi-Stepper-",I192,"-",Input!M192)),points11,2,))</f>
        <v>0</v>
      </c>
      <c r="AB192">
        <f>IF(ISNA(VLOOKUP((CONCATENATE("Chest Push-",I192,"-",Input!N192)),points11,2,)),0,VLOOKUP((CONCATENATE("Chest Push-",I192,"-",Input!N192)),points11,2,))</f>
        <v>0</v>
      </c>
      <c r="AC192">
        <f>IF(ISNA(VLOOKUP((CONCATENATE("Javelin Throw-",I192,"-",Input!O192)),points11,2,)),0,VLOOKUP((CONCATENATE("Javelin Throw-",I192,"-",Input!O192)),points11,2,))</f>
        <v>0</v>
      </c>
      <c r="AD192">
        <f t="shared" si="42"/>
        <v>0</v>
      </c>
      <c r="AE192" t="str">
        <f t="shared" si="43"/>
        <v xml:space="preserve"> </v>
      </c>
      <c r="AF192">
        <f t="shared" si="33"/>
        <v>0</v>
      </c>
    </row>
    <row r="193" spans="2:32" ht="15" thickBot="1" x14ac:dyDescent="0.4">
      <c r="B193" s="631"/>
      <c r="C193" s="520">
        <v>3</v>
      </c>
      <c r="D193" s="289">
        <v>16</v>
      </c>
      <c r="E193" s="387"/>
      <c r="F193" s="362"/>
      <c r="G193" s="388"/>
      <c r="H193" s="388"/>
      <c r="I193" s="388"/>
      <c r="J193" s="393"/>
      <c r="K193" s="388"/>
      <c r="L193" s="388"/>
      <c r="M193" s="388"/>
      <c r="N193" s="388"/>
      <c r="O193" s="503"/>
      <c r="P193" s="509">
        <f t="shared" si="34"/>
        <v>0</v>
      </c>
      <c r="Q193" s="445">
        <f t="shared" si="35"/>
        <v>0</v>
      </c>
      <c r="R193" s="445">
        <f t="shared" si="36"/>
        <v>0</v>
      </c>
      <c r="S193" s="445">
        <f t="shared" si="37"/>
        <v>0</v>
      </c>
      <c r="T193" s="445">
        <f t="shared" si="38"/>
        <v>0</v>
      </c>
      <c r="U193" s="445">
        <f t="shared" si="39"/>
        <v>0</v>
      </c>
      <c r="V193" s="445">
        <f t="shared" si="40"/>
        <v>0</v>
      </c>
      <c r="W193" s="446">
        <f t="shared" si="41"/>
        <v>0</v>
      </c>
      <c r="X193">
        <f>IF(ISNA(VLOOKUP((CONCATENATE("Standing Long Jump-",I193,"-",Input!J193)),points11,2,)),0,VLOOKUP((CONCATENATE("Standing Long Jump-",I193,"-",Input!J193)),points11,2,))</f>
        <v>0</v>
      </c>
      <c r="Y193">
        <f>IF(ISNA(VLOOKUP((CONCATENATE("Speed Bounce-",I193,"-",Input!K193)),points11,2,)),0,VLOOKUP((CONCATENATE("Speed Bounce-",I193,"-",Input!K193)),points11,2,))</f>
        <v>0</v>
      </c>
      <c r="Z193">
        <f>IF(ISNA(VLOOKUP((CONCATENATE("Target Throw-",I193,"-",Input!L193)),points11,2,)),0,VLOOKUP((CONCATENATE("Target Throw-",I193,"-",Input!L193)),points11,2,))</f>
        <v>0</v>
      </c>
      <c r="AA193">
        <f>IF(ISNA(VLOOKUP((CONCATENATE("Hi-Stepper-",I193,"-",Input!M193)),points11,2,)),0,VLOOKUP((CONCATENATE("Hi-Stepper-",I193,"-",Input!M193)),points11,2,))</f>
        <v>0</v>
      </c>
      <c r="AB193">
        <f>IF(ISNA(VLOOKUP((CONCATENATE("Chest Push-",I193,"-",Input!N193)),points11,2,)),0,VLOOKUP((CONCATENATE("Chest Push-",I193,"-",Input!N193)),points11,2,))</f>
        <v>0</v>
      </c>
      <c r="AC193">
        <f>IF(ISNA(VLOOKUP((CONCATENATE("Javelin Throw-",I193,"-",Input!O193)),points11,2,)),0,VLOOKUP((CONCATENATE("Javelin Throw-",I193,"-",Input!O193)),points11,2,))</f>
        <v>0</v>
      </c>
      <c r="AD193">
        <f t="shared" si="42"/>
        <v>0</v>
      </c>
      <c r="AE193" t="str">
        <f t="shared" si="43"/>
        <v xml:space="preserve"> </v>
      </c>
      <c r="AF193">
        <f t="shared" si="33"/>
        <v>0</v>
      </c>
    </row>
    <row r="194" spans="2:32" ht="15" thickBot="1" x14ac:dyDescent="0.4">
      <c r="B194" s="631"/>
      <c r="C194" s="520">
        <v>4</v>
      </c>
      <c r="D194" s="289">
        <v>16</v>
      </c>
      <c r="E194" s="387"/>
      <c r="F194" s="362"/>
      <c r="G194" s="388"/>
      <c r="H194" s="388"/>
      <c r="I194" s="388"/>
      <c r="J194" s="393"/>
      <c r="K194" s="388"/>
      <c r="L194" s="388"/>
      <c r="M194" s="388"/>
      <c r="N194" s="388"/>
      <c r="O194" s="503"/>
      <c r="P194" s="509">
        <f t="shared" si="34"/>
        <v>0</v>
      </c>
      <c r="Q194" s="445">
        <f t="shared" si="35"/>
        <v>0</v>
      </c>
      <c r="R194" s="445">
        <f t="shared" si="36"/>
        <v>0</v>
      </c>
      <c r="S194" s="445">
        <f t="shared" si="37"/>
        <v>0</v>
      </c>
      <c r="T194" s="445">
        <f t="shared" si="38"/>
        <v>0</v>
      </c>
      <c r="U194" s="445">
        <f t="shared" si="39"/>
        <v>0</v>
      </c>
      <c r="V194" s="445">
        <f t="shared" si="40"/>
        <v>0</v>
      </c>
      <c r="W194" s="446">
        <f t="shared" si="41"/>
        <v>0</v>
      </c>
      <c r="X194">
        <f>IF(ISNA(VLOOKUP((CONCATENATE("Standing Long Jump-",I194,"-",Input!J194)),points11,2,)),0,VLOOKUP((CONCATENATE("Standing Long Jump-",I194,"-",Input!J194)),points11,2,))</f>
        <v>0</v>
      </c>
      <c r="Y194">
        <f>IF(ISNA(VLOOKUP((CONCATENATE("Speed Bounce-",I194,"-",Input!K194)),points11,2,)),0,VLOOKUP((CONCATENATE("Speed Bounce-",I194,"-",Input!K194)),points11,2,))</f>
        <v>0</v>
      </c>
      <c r="Z194">
        <f>IF(ISNA(VLOOKUP((CONCATENATE("Target Throw-",I194,"-",Input!L194)),points11,2,)),0,VLOOKUP((CONCATENATE("Target Throw-",I194,"-",Input!L194)),points11,2,))</f>
        <v>0</v>
      </c>
      <c r="AA194">
        <f>IF(ISNA(VLOOKUP((CONCATENATE("Hi-Stepper-",I194,"-",Input!M194)),points11,2,)),0,VLOOKUP((CONCATENATE("Hi-Stepper-",I194,"-",Input!M194)),points11,2,))</f>
        <v>0</v>
      </c>
      <c r="AB194">
        <f>IF(ISNA(VLOOKUP((CONCATENATE("Chest Push-",I194,"-",Input!N194)),points11,2,)),0,VLOOKUP((CONCATENATE("Chest Push-",I194,"-",Input!N194)),points11,2,))</f>
        <v>0</v>
      </c>
      <c r="AC194">
        <f>IF(ISNA(VLOOKUP((CONCATENATE("Javelin Throw-",I194,"-",Input!O194)),points11,2,)),0,VLOOKUP((CONCATENATE("Javelin Throw-",I194,"-",Input!O194)),points11,2,))</f>
        <v>0</v>
      </c>
      <c r="AD194">
        <f t="shared" si="42"/>
        <v>0</v>
      </c>
      <c r="AE194" t="str">
        <f t="shared" si="43"/>
        <v xml:space="preserve"> </v>
      </c>
      <c r="AF194">
        <f t="shared" si="33"/>
        <v>0</v>
      </c>
    </row>
    <row r="195" spans="2:32" ht="15" thickBot="1" x14ac:dyDescent="0.4">
      <c r="B195" s="631"/>
      <c r="C195" s="520">
        <v>5</v>
      </c>
      <c r="D195" s="289">
        <v>16</v>
      </c>
      <c r="E195" s="387"/>
      <c r="F195" s="362"/>
      <c r="G195" s="388"/>
      <c r="H195" s="388"/>
      <c r="I195" s="388"/>
      <c r="J195" s="393"/>
      <c r="K195" s="388"/>
      <c r="L195" s="388"/>
      <c r="M195" s="388"/>
      <c r="N195" s="388"/>
      <c r="O195" s="503"/>
      <c r="P195" s="509">
        <f t="shared" si="34"/>
        <v>0</v>
      </c>
      <c r="Q195" s="445">
        <f t="shared" si="35"/>
        <v>0</v>
      </c>
      <c r="R195" s="445">
        <f t="shared" si="36"/>
        <v>0</v>
      </c>
      <c r="S195" s="445">
        <f t="shared" si="37"/>
        <v>0</v>
      </c>
      <c r="T195" s="445">
        <f t="shared" si="38"/>
        <v>0</v>
      </c>
      <c r="U195" s="445">
        <f t="shared" si="39"/>
        <v>0</v>
      </c>
      <c r="V195" s="445">
        <f t="shared" si="40"/>
        <v>0</v>
      </c>
      <c r="W195" s="446">
        <f t="shared" si="41"/>
        <v>0</v>
      </c>
      <c r="X195">
        <f>IF(ISNA(VLOOKUP((CONCATENATE("Standing Long Jump-",I195,"-",Input!J195)),points11,2,)),0,VLOOKUP((CONCATENATE("Standing Long Jump-",I195,"-",Input!J195)),points11,2,))</f>
        <v>0</v>
      </c>
      <c r="Y195">
        <f>IF(ISNA(VLOOKUP((CONCATENATE("Speed Bounce-",I195,"-",Input!K195)),points11,2,)),0,VLOOKUP((CONCATENATE("Speed Bounce-",I195,"-",Input!K195)),points11,2,))</f>
        <v>0</v>
      </c>
      <c r="Z195">
        <f>IF(ISNA(VLOOKUP((CONCATENATE("Target Throw-",I195,"-",Input!L195)),points11,2,)),0,VLOOKUP((CONCATENATE("Target Throw-",I195,"-",Input!L195)),points11,2,))</f>
        <v>0</v>
      </c>
      <c r="AA195">
        <f>IF(ISNA(VLOOKUP((CONCATENATE("Hi-Stepper-",I195,"-",Input!M195)),points11,2,)),0,VLOOKUP((CONCATENATE("Hi-Stepper-",I195,"-",Input!M195)),points11,2,))</f>
        <v>0</v>
      </c>
      <c r="AB195">
        <f>IF(ISNA(VLOOKUP((CONCATENATE("Chest Push-",I195,"-",Input!N195)),points11,2,)),0,VLOOKUP((CONCATENATE("Chest Push-",I195,"-",Input!N195)),points11,2,))</f>
        <v>0</v>
      </c>
      <c r="AC195">
        <f>IF(ISNA(VLOOKUP((CONCATENATE("Javelin Throw-",I195,"-",Input!O195)),points11,2,)),0,VLOOKUP((CONCATENATE("Javelin Throw-",I195,"-",Input!O195)),points11,2,))</f>
        <v>0</v>
      </c>
      <c r="AD195">
        <f t="shared" si="42"/>
        <v>0</v>
      </c>
      <c r="AE195" t="str">
        <f t="shared" si="43"/>
        <v xml:space="preserve"> </v>
      </c>
      <c r="AF195">
        <f t="shared" si="33"/>
        <v>0</v>
      </c>
    </row>
    <row r="196" spans="2:32" ht="15" thickBot="1" x14ac:dyDescent="0.4">
      <c r="B196" s="631"/>
      <c r="C196" s="520">
        <v>6</v>
      </c>
      <c r="D196" s="289">
        <v>16</v>
      </c>
      <c r="E196" s="387"/>
      <c r="F196" s="362"/>
      <c r="G196" s="388"/>
      <c r="H196" s="388"/>
      <c r="I196" s="388"/>
      <c r="J196" s="393"/>
      <c r="K196" s="388"/>
      <c r="L196" s="388"/>
      <c r="M196" s="388"/>
      <c r="N196" s="388"/>
      <c r="O196" s="503"/>
      <c r="P196" s="509">
        <f t="shared" si="34"/>
        <v>0</v>
      </c>
      <c r="Q196" s="445">
        <f t="shared" si="35"/>
        <v>0</v>
      </c>
      <c r="R196" s="445">
        <f t="shared" si="36"/>
        <v>0</v>
      </c>
      <c r="S196" s="445">
        <f t="shared" si="37"/>
        <v>0</v>
      </c>
      <c r="T196" s="445">
        <f t="shared" si="38"/>
        <v>0</v>
      </c>
      <c r="U196" s="445">
        <f t="shared" si="39"/>
        <v>0</v>
      </c>
      <c r="V196" s="445">
        <f t="shared" si="40"/>
        <v>0</v>
      </c>
      <c r="W196" s="446">
        <f t="shared" si="41"/>
        <v>0</v>
      </c>
      <c r="X196">
        <f>IF(ISNA(VLOOKUP((CONCATENATE("Standing Long Jump-",I196,"-",Input!J196)),points11,2,)),0,VLOOKUP((CONCATENATE("Standing Long Jump-",I196,"-",Input!J196)),points11,2,))</f>
        <v>0</v>
      </c>
      <c r="Y196">
        <f>IF(ISNA(VLOOKUP((CONCATENATE("Speed Bounce-",I196,"-",Input!K196)),points11,2,)),0,VLOOKUP((CONCATENATE("Speed Bounce-",I196,"-",Input!K196)),points11,2,))</f>
        <v>0</v>
      </c>
      <c r="Z196">
        <f>IF(ISNA(VLOOKUP((CONCATENATE("Target Throw-",I196,"-",Input!L196)),points11,2,)),0,VLOOKUP((CONCATENATE("Target Throw-",I196,"-",Input!L196)),points11,2,))</f>
        <v>0</v>
      </c>
      <c r="AA196">
        <f>IF(ISNA(VLOOKUP((CONCATENATE("Hi-Stepper-",I196,"-",Input!M196)),points11,2,)),0,VLOOKUP((CONCATENATE("Hi-Stepper-",I196,"-",Input!M196)),points11,2,))</f>
        <v>0</v>
      </c>
      <c r="AB196">
        <f>IF(ISNA(VLOOKUP((CONCATENATE("Chest Push-",I196,"-",Input!N196)),points11,2,)),0,VLOOKUP((CONCATENATE("Chest Push-",I196,"-",Input!N196)),points11,2,))</f>
        <v>0</v>
      </c>
      <c r="AC196">
        <f>IF(ISNA(VLOOKUP((CONCATENATE("Javelin Throw-",I196,"-",Input!O196)),points11,2,)),0,VLOOKUP((CONCATENATE("Javelin Throw-",I196,"-",Input!O196)),points11,2,))</f>
        <v>0</v>
      </c>
      <c r="AD196">
        <f t="shared" si="42"/>
        <v>0</v>
      </c>
      <c r="AE196" t="str">
        <f t="shared" si="43"/>
        <v xml:space="preserve"> </v>
      </c>
      <c r="AF196">
        <f t="shared" si="33"/>
        <v>0</v>
      </c>
    </row>
    <row r="197" spans="2:32" ht="15" thickBot="1" x14ac:dyDescent="0.4">
      <c r="B197" s="631"/>
      <c r="C197" s="520">
        <v>7</v>
      </c>
      <c r="D197" s="289">
        <v>16</v>
      </c>
      <c r="E197" s="387"/>
      <c r="F197" s="362"/>
      <c r="G197" s="388"/>
      <c r="H197" s="388"/>
      <c r="I197" s="388"/>
      <c r="J197" s="393"/>
      <c r="K197" s="388"/>
      <c r="L197" s="388"/>
      <c r="M197" s="388"/>
      <c r="N197" s="388"/>
      <c r="O197" s="503"/>
      <c r="P197" s="509">
        <f t="shared" si="34"/>
        <v>0</v>
      </c>
      <c r="Q197" s="445">
        <f t="shared" si="35"/>
        <v>0</v>
      </c>
      <c r="R197" s="445">
        <f t="shared" si="36"/>
        <v>0</v>
      </c>
      <c r="S197" s="445">
        <f t="shared" si="37"/>
        <v>0</v>
      </c>
      <c r="T197" s="445">
        <f t="shared" si="38"/>
        <v>0</v>
      </c>
      <c r="U197" s="445">
        <f t="shared" si="39"/>
        <v>0</v>
      </c>
      <c r="V197" s="445">
        <f t="shared" si="40"/>
        <v>0</v>
      </c>
      <c r="W197" s="446">
        <f t="shared" si="41"/>
        <v>0</v>
      </c>
      <c r="X197">
        <f>IF(ISNA(VLOOKUP((CONCATENATE("Standing Long Jump-",I197,"-",Input!J197)),points11,2,)),0,VLOOKUP((CONCATENATE("Standing Long Jump-",I197,"-",Input!J197)),points11,2,))</f>
        <v>0</v>
      </c>
      <c r="Y197">
        <f>IF(ISNA(VLOOKUP((CONCATENATE("Speed Bounce-",I197,"-",Input!K197)),points11,2,)),0,VLOOKUP((CONCATENATE("Speed Bounce-",I197,"-",Input!K197)),points11,2,))</f>
        <v>0</v>
      </c>
      <c r="Z197">
        <f>IF(ISNA(VLOOKUP((CONCATENATE("Target Throw-",I197,"-",Input!L197)),points11,2,)),0,VLOOKUP((CONCATENATE("Target Throw-",I197,"-",Input!L197)),points11,2,))</f>
        <v>0</v>
      </c>
      <c r="AA197">
        <f>IF(ISNA(VLOOKUP((CONCATENATE("Hi-Stepper-",I197,"-",Input!M197)),points11,2,)),0,VLOOKUP((CONCATENATE("Hi-Stepper-",I197,"-",Input!M197)),points11,2,))</f>
        <v>0</v>
      </c>
      <c r="AB197">
        <f>IF(ISNA(VLOOKUP((CONCATENATE("Chest Push-",I197,"-",Input!N197)),points11,2,)),0,VLOOKUP((CONCATENATE("Chest Push-",I197,"-",Input!N197)),points11,2,))</f>
        <v>0</v>
      </c>
      <c r="AC197">
        <f>IF(ISNA(VLOOKUP((CONCATENATE("Javelin Throw-",I197,"-",Input!O197)),points11,2,)),0,VLOOKUP((CONCATENATE("Javelin Throw-",I197,"-",Input!O197)),points11,2,))</f>
        <v>0</v>
      </c>
      <c r="AD197">
        <f t="shared" si="42"/>
        <v>0</v>
      </c>
      <c r="AE197" t="str">
        <f t="shared" si="43"/>
        <v xml:space="preserve"> </v>
      </c>
      <c r="AF197">
        <f t="shared" si="33"/>
        <v>0</v>
      </c>
    </row>
    <row r="198" spans="2:32" ht="15" thickBot="1" x14ac:dyDescent="0.4">
      <c r="B198" s="631"/>
      <c r="C198" s="520">
        <v>8</v>
      </c>
      <c r="D198" s="289">
        <v>16</v>
      </c>
      <c r="E198" s="387"/>
      <c r="F198" s="362"/>
      <c r="G198" s="388"/>
      <c r="H198" s="388"/>
      <c r="I198" s="388"/>
      <c r="J198" s="393"/>
      <c r="K198" s="388"/>
      <c r="L198" s="388"/>
      <c r="M198" s="388"/>
      <c r="N198" s="388"/>
      <c r="O198" s="503"/>
      <c r="P198" s="509">
        <f t="shared" si="34"/>
        <v>0</v>
      </c>
      <c r="Q198" s="445">
        <f t="shared" si="35"/>
        <v>0</v>
      </c>
      <c r="R198" s="445">
        <f t="shared" si="36"/>
        <v>0</v>
      </c>
      <c r="S198" s="445">
        <f t="shared" si="37"/>
        <v>0</v>
      </c>
      <c r="T198" s="445">
        <f t="shared" si="38"/>
        <v>0</v>
      </c>
      <c r="U198" s="445">
        <f t="shared" si="39"/>
        <v>0</v>
      </c>
      <c r="V198" s="445">
        <f t="shared" si="40"/>
        <v>0</v>
      </c>
      <c r="W198" s="446">
        <f t="shared" si="41"/>
        <v>0</v>
      </c>
      <c r="X198">
        <f>IF(ISNA(VLOOKUP((CONCATENATE("Standing Long Jump-",I198,"-",Input!J198)),points11,2,)),0,VLOOKUP((CONCATENATE("Standing Long Jump-",I198,"-",Input!J198)),points11,2,))</f>
        <v>0</v>
      </c>
      <c r="Y198">
        <f>IF(ISNA(VLOOKUP((CONCATENATE("Speed Bounce-",I198,"-",Input!K198)),points11,2,)),0,VLOOKUP((CONCATENATE("Speed Bounce-",I198,"-",Input!K198)),points11,2,))</f>
        <v>0</v>
      </c>
      <c r="Z198">
        <f>IF(ISNA(VLOOKUP((CONCATENATE("Target Throw-",I198,"-",Input!L198)),points11,2,)),0,VLOOKUP((CONCATENATE("Target Throw-",I198,"-",Input!L198)),points11,2,))</f>
        <v>0</v>
      </c>
      <c r="AA198">
        <f>IF(ISNA(VLOOKUP((CONCATENATE("Hi-Stepper-",I198,"-",Input!M198)),points11,2,)),0,VLOOKUP((CONCATENATE("Hi-Stepper-",I198,"-",Input!M198)),points11,2,))</f>
        <v>0</v>
      </c>
      <c r="AB198">
        <f>IF(ISNA(VLOOKUP((CONCATENATE("Chest Push-",I198,"-",Input!N198)),points11,2,)),0,VLOOKUP((CONCATENATE("Chest Push-",I198,"-",Input!N198)),points11,2,))</f>
        <v>0</v>
      </c>
      <c r="AC198">
        <f>IF(ISNA(VLOOKUP((CONCATENATE("Javelin Throw-",I198,"-",Input!O198)),points11,2,)),0,VLOOKUP((CONCATENATE("Javelin Throw-",I198,"-",Input!O198)),points11,2,))</f>
        <v>0</v>
      </c>
      <c r="AD198">
        <f t="shared" si="42"/>
        <v>0</v>
      </c>
      <c r="AE198" t="str">
        <f t="shared" si="43"/>
        <v xml:space="preserve"> </v>
      </c>
      <c r="AF198">
        <f t="shared" si="33"/>
        <v>0</v>
      </c>
    </row>
    <row r="199" spans="2:32" ht="15" thickBot="1" x14ac:dyDescent="0.4">
      <c r="B199" s="631"/>
      <c r="C199" s="520">
        <v>9</v>
      </c>
      <c r="D199" s="289">
        <v>16</v>
      </c>
      <c r="E199" s="387"/>
      <c r="F199" s="362"/>
      <c r="G199" s="388"/>
      <c r="H199" s="388"/>
      <c r="I199" s="388"/>
      <c r="J199" s="393"/>
      <c r="K199" s="388"/>
      <c r="L199" s="388"/>
      <c r="M199" s="388"/>
      <c r="N199" s="388"/>
      <c r="O199" s="503"/>
      <c r="P199" s="509">
        <f t="shared" si="34"/>
        <v>0</v>
      </c>
      <c r="Q199" s="445">
        <f t="shared" si="35"/>
        <v>0</v>
      </c>
      <c r="R199" s="445">
        <f t="shared" si="36"/>
        <v>0</v>
      </c>
      <c r="S199" s="445">
        <f t="shared" si="37"/>
        <v>0</v>
      </c>
      <c r="T199" s="445">
        <f t="shared" si="38"/>
        <v>0</v>
      </c>
      <c r="U199" s="445">
        <f t="shared" si="39"/>
        <v>0</v>
      </c>
      <c r="V199" s="445">
        <f t="shared" si="40"/>
        <v>0</v>
      </c>
      <c r="W199" s="446">
        <f t="shared" si="41"/>
        <v>0</v>
      </c>
      <c r="X199">
        <f>IF(ISNA(VLOOKUP((CONCATENATE("Standing Long Jump-",I199,"-",Input!J199)),points11,2,)),0,VLOOKUP((CONCATENATE("Standing Long Jump-",I199,"-",Input!J199)),points11,2,))</f>
        <v>0</v>
      </c>
      <c r="Y199">
        <f>IF(ISNA(VLOOKUP((CONCATENATE("Speed Bounce-",I199,"-",Input!K199)),points11,2,)),0,VLOOKUP((CONCATENATE("Speed Bounce-",I199,"-",Input!K199)),points11,2,))</f>
        <v>0</v>
      </c>
      <c r="Z199">
        <f>IF(ISNA(VLOOKUP((CONCATENATE("Target Throw-",I199,"-",Input!L199)),points11,2,)),0,VLOOKUP((CONCATENATE("Target Throw-",I199,"-",Input!L199)),points11,2,))</f>
        <v>0</v>
      </c>
      <c r="AA199">
        <f>IF(ISNA(VLOOKUP((CONCATENATE("Hi-Stepper-",I199,"-",Input!M199)),points11,2,)),0,VLOOKUP((CONCATENATE("Hi-Stepper-",I199,"-",Input!M199)),points11,2,))</f>
        <v>0</v>
      </c>
      <c r="AB199">
        <f>IF(ISNA(VLOOKUP((CONCATENATE("Chest Push-",I199,"-",Input!N199)),points11,2,)),0,VLOOKUP((CONCATENATE("Chest Push-",I199,"-",Input!N199)),points11,2,))</f>
        <v>0</v>
      </c>
      <c r="AC199">
        <f>IF(ISNA(VLOOKUP((CONCATENATE("Javelin Throw-",I199,"-",Input!O199)),points11,2,)),0,VLOOKUP((CONCATENATE("Javelin Throw-",I199,"-",Input!O199)),points11,2,))</f>
        <v>0</v>
      </c>
      <c r="AD199">
        <f t="shared" si="42"/>
        <v>0</v>
      </c>
      <c r="AE199" t="str">
        <f t="shared" si="43"/>
        <v xml:space="preserve"> </v>
      </c>
      <c r="AF199">
        <f t="shared" si="33"/>
        <v>0</v>
      </c>
    </row>
    <row r="200" spans="2:32" ht="15" thickBot="1" x14ac:dyDescent="0.4">
      <c r="B200" s="631"/>
      <c r="C200" s="520">
        <v>10</v>
      </c>
      <c r="D200" s="289">
        <v>16</v>
      </c>
      <c r="E200" s="387"/>
      <c r="F200" s="362"/>
      <c r="G200" s="388"/>
      <c r="H200" s="388"/>
      <c r="I200" s="388"/>
      <c r="J200" s="393"/>
      <c r="K200" s="388"/>
      <c r="L200" s="388"/>
      <c r="M200" s="388"/>
      <c r="N200" s="388"/>
      <c r="O200" s="503"/>
      <c r="P200" s="509">
        <f t="shared" si="34"/>
        <v>0</v>
      </c>
      <c r="Q200" s="445">
        <f t="shared" si="35"/>
        <v>0</v>
      </c>
      <c r="R200" s="445">
        <f t="shared" si="36"/>
        <v>0</v>
      </c>
      <c r="S200" s="445">
        <f t="shared" si="37"/>
        <v>0</v>
      </c>
      <c r="T200" s="445">
        <f t="shared" si="38"/>
        <v>0</v>
      </c>
      <c r="U200" s="445">
        <f t="shared" si="39"/>
        <v>0</v>
      </c>
      <c r="V200" s="445">
        <f t="shared" si="40"/>
        <v>0</v>
      </c>
      <c r="W200" s="446">
        <f t="shared" si="41"/>
        <v>0</v>
      </c>
      <c r="X200">
        <f>IF(ISNA(VLOOKUP((CONCATENATE("Standing Long Jump-",I200,"-",Input!J200)),points11,2,)),0,VLOOKUP((CONCATENATE("Standing Long Jump-",I200,"-",Input!J200)),points11,2,))</f>
        <v>0</v>
      </c>
      <c r="Y200">
        <f>IF(ISNA(VLOOKUP((CONCATENATE("Speed Bounce-",I200,"-",Input!K200)),points11,2,)),0,VLOOKUP((CONCATENATE("Speed Bounce-",I200,"-",Input!K200)),points11,2,))</f>
        <v>0</v>
      </c>
      <c r="Z200">
        <f>IF(ISNA(VLOOKUP((CONCATENATE("Target Throw-",I200,"-",Input!L200)),points11,2,)),0,VLOOKUP((CONCATENATE("Target Throw-",I200,"-",Input!L200)),points11,2,))</f>
        <v>0</v>
      </c>
      <c r="AA200">
        <f>IF(ISNA(VLOOKUP((CONCATENATE("Hi-Stepper-",I200,"-",Input!M200)),points11,2,)),0,VLOOKUP((CONCATENATE("Hi-Stepper-",I200,"-",Input!M200)),points11,2,))</f>
        <v>0</v>
      </c>
      <c r="AB200">
        <f>IF(ISNA(VLOOKUP((CONCATENATE("Chest Push-",I200,"-",Input!N200)),points11,2,)),0,VLOOKUP((CONCATENATE("Chest Push-",I200,"-",Input!N200)),points11,2,))</f>
        <v>0</v>
      </c>
      <c r="AC200">
        <f>IF(ISNA(VLOOKUP((CONCATENATE("Javelin Throw-",I200,"-",Input!O200)),points11,2,)),0,VLOOKUP((CONCATENATE("Javelin Throw-",I200,"-",Input!O200)),points11,2,))</f>
        <v>0</v>
      </c>
      <c r="AD200">
        <f t="shared" si="42"/>
        <v>0</v>
      </c>
      <c r="AE200" t="str">
        <f t="shared" si="43"/>
        <v xml:space="preserve"> </v>
      </c>
      <c r="AF200">
        <f t="shared" si="33"/>
        <v>0</v>
      </c>
    </row>
    <row r="201" spans="2:32" ht="15" thickBot="1" x14ac:dyDescent="0.4">
      <c r="B201" s="631"/>
      <c r="C201" s="520">
        <v>11</v>
      </c>
      <c r="D201" s="289">
        <v>16</v>
      </c>
      <c r="E201" s="387"/>
      <c r="F201" s="362"/>
      <c r="G201" s="388"/>
      <c r="H201" s="388"/>
      <c r="I201" s="388"/>
      <c r="J201" s="393"/>
      <c r="K201" s="388"/>
      <c r="L201" s="388"/>
      <c r="M201" s="388"/>
      <c r="N201" s="388"/>
      <c r="O201" s="503"/>
      <c r="P201" s="509">
        <f t="shared" si="34"/>
        <v>0</v>
      </c>
      <c r="Q201" s="445">
        <f t="shared" si="35"/>
        <v>0</v>
      </c>
      <c r="R201" s="445">
        <f t="shared" si="36"/>
        <v>0</v>
      </c>
      <c r="S201" s="445">
        <f t="shared" si="37"/>
        <v>0</v>
      </c>
      <c r="T201" s="445">
        <f t="shared" si="38"/>
        <v>0</v>
      </c>
      <c r="U201" s="445">
        <f t="shared" si="39"/>
        <v>0</v>
      </c>
      <c r="V201" s="445">
        <f t="shared" si="40"/>
        <v>0</v>
      </c>
      <c r="W201" s="446">
        <f t="shared" si="41"/>
        <v>0</v>
      </c>
      <c r="X201">
        <f>IF(ISNA(VLOOKUP((CONCATENATE("Standing Long Jump-",I201,"-",Input!J201)),points11,2,)),0,VLOOKUP((CONCATENATE("Standing Long Jump-",I201,"-",Input!J201)),points11,2,))</f>
        <v>0</v>
      </c>
      <c r="Y201">
        <f>IF(ISNA(VLOOKUP((CONCATENATE("Speed Bounce-",I201,"-",Input!K201)),points11,2,)),0,VLOOKUP((CONCATENATE("Speed Bounce-",I201,"-",Input!K201)),points11,2,))</f>
        <v>0</v>
      </c>
      <c r="Z201">
        <f>IF(ISNA(VLOOKUP((CONCATENATE("Target Throw-",I201,"-",Input!L201)),points11,2,)),0,VLOOKUP((CONCATENATE("Target Throw-",I201,"-",Input!L201)),points11,2,))</f>
        <v>0</v>
      </c>
      <c r="AA201">
        <f>IF(ISNA(VLOOKUP((CONCATENATE("Hi-Stepper-",I201,"-",Input!M201)),points11,2,)),0,VLOOKUP((CONCATENATE("Hi-Stepper-",I201,"-",Input!M201)),points11,2,))</f>
        <v>0</v>
      </c>
      <c r="AB201">
        <f>IF(ISNA(VLOOKUP((CONCATENATE("Chest Push-",I201,"-",Input!N201)),points11,2,)),0,VLOOKUP((CONCATENATE("Chest Push-",I201,"-",Input!N201)),points11,2,))</f>
        <v>0</v>
      </c>
      <c r="AC201">
        <f>IF(ISNA(VLOOKUP((CONCATENATE("Javelin Throw-",I201,"-",Input!O201)),points11,2,)),0,VLOOKUP((CONCATENATE("Javelin Throw-",I201,"-",Input!O201)),points11,2,))</f>
        <v>0</v>
      </c>
      <c r="AD201">
        <f t="shared" si="42"/>
        <v>0</v>
      </c>
      <c r="AE201" t="str">
        <f t="shared" si="43"/>
        <v xml:space="preserve"> </v>
      </c>
      <c r="AF201">
        <f t="shared" si="33"/>
        <v>0</v>
      </c>
    </row>
    <row r="202" spans="2:32" ht="15" thickBot="1" x14ac:dyDescent="0.4">
      <c r="B202" s="631"/>
      <c r="C202" s="520">
        <v>12</v>
      </c>
      <c r="D202" s="289">
        <v>16</v>
      </c>
      <c r="E202" s="428"/>
      <c r="F202" s="400"/>
      <c r="G202" s="429"/>
      <c r="H202" s="429"/>
      <c r="I202" s="429"/>
      <c r="J202" s="430"/>
      <c r="K202" s="429"/>
      <c r="L202" s="429"/>
      <c r="M202" s="429"/>
      <c r="N202" s="429"/>
      <c r="O202" s="504"/>
      <c r="P202" s="512">
        <f t="shared" si="34"/>
        <v>0</v>
      </c>
      <c r="Q202" s="451">
        <f t="shared" si="35"/>
        <v>0</v>
      </c>
      <c r="R202" s="451">
        <f t="shared" si="36"/>
        <v>0</v>
      </c>
      <c r="S202" s="451">
        <f t="shared" si="37"/>
        <v>0</v>
      </c>
      <c r="T202" s="451">
        <f t="shared" si="38"/>
        <v>0</v>
      </c>
      <c r="U202" s="451">
        <f t="shared" si="39"/>
        <v>0</v>
      </c>
      <c r="V202" s="451">
        <f t="shared" si="40"/>
        <v>0</v>
      </c>
      <c r="W202" s="452">
        <f t="shared" si="41"/>
        <v>0</v>
      </c>
      <c r="X202">
        <f>IF(ISNA(VLOOKUP((CONCATENATE("Standing Long Jump-",I202,"-",Input!J202)),points11,2,)),0,VLOOKUP((CONCATENATE("Standing Long Jump-",I202,"-",Input!J202)),points11,2,))</f>
        <v>0</v>
      </c>
      <c r="Y202">
        <f>IF(ISNA(VLOOKUP((CONCATENATE("Speed Bounce-",I202,"-",Input!K202)),points11,2,)),0,VLOOKUP((CONCATENATE("Speed Bounce-",I202,"-",Input!K202)),points11,2,))</f>
        <v>0</v>
      </c>
      <c r="Z202">
        <f>IF(ISNA(VLOOKUP((CONCATENATE("Target Throw-",I202,"-",Input!L202)),points11,2,)),0,VLOOKUP((CONCATENATE("Target Throw-",I202,"-",Input!L202)),points11,2,))</f>
        <v>0</v>
      </c>
      <c r="AA202">
        <f>IF(ISNA(VLOOKUP((CONCATENATE("Hi-Stepper-",I202,"-",Input!M202)),points11,2,)),0,VLOOKUP((CONCATENATE("Hi-Stepper-",I202,"-",Input!M202)),points11,2,))</f>
        <v>0</v>
      </c>
      <c r="AB202">
        <f>IF(ISNA(VLOOKUP((CONCATENATE("Chest Push-",I202,"-",Input!N202)),points11,2,)),0,VLOOKUP((CONCATENATE("Chest Push-",I202,"-",Input!N202)),points11,2,))</f>
        <v>0</v>
      </c>
      <c r="AC202">
        <f>IF(ISNA(VLOOKUP((CONCATENATE("Javelin Throw-",I202,"-",Input!O202)),points11,2,)),0,VLOOKUP((CONCATENATE("Javelin Throw-",I202,"-",Input!O202)),points11,2,))</f>
        <v>0</v>
      </c>
      <c r="AD202">
        <f t="shared" si="42"/>
        <v>0</v>
      </c>
      <c r="AE202" t="str">
        <f t="shared" si="43"/>
        <v xml:space="preserve"> </v>
      </c>
      <c r="AF202">
        <f t="shared" si="33"/>
        <v>0</v>
      </c>
    </row>
    <row r="203" spans="2:32" ht="15" thickBot="1" x14ac:dyDescent="0.4">
      <c r="B203" s="631" t="str">
        <f>'Competition Menu'!E17</f>
        <v>Team 17</v>
      </c>
      <c r="C203" s="520">
        <v>1</v>
      </c>
      <c r="D203" s="289">
        <v>17</v>
      </c>
      <c r="E203" s="479"/>
      <c r="F203" s="357"/>
      <c r="G203" s="480"/>
      <c r="H203" s="480"/>
      <c r="I203" s="480"/>
      <c r="J203" s="481"/>
      <c r="K203" s="480"/>
      <c r="L203" s="480"/>
      <c r="M203" s="480"/>
      <c r="N203" s="480"/>
      <c r="O203" s="505"/>
      <c r="P203" s="513">
        <f t="shared" si="34"/>
        <v>0</v>
      </c>
      <c r="Q203" s="453">
        <f t="shared" si="35"/>
        <v>0</v>
      </c>
      <c r="R203" s="453">
        <f t="shared" si="36"/>
        <v>0</v>
      </c>
      <c r="S203" s="453">
        <f t="shared" si="37"/>
        <v>0</v>
      </c>
      <c r="T203" s="453">
        <f t="shared" si="38"/>
        <v>0</v>
      </c>
      <c r="U203" s="453">
        <f t="shared" si="39"/>
        <v>0</v>
      </c>
      <c r="V203" s="453">
        <f t="shared" si="40"/>
        <v>0</v>
      </c>
      <c r="W203" s="454">
        <f t="shared" si="41"/>
        <v>0</v>
      </c>
      <c r="X203">
        <f>IF(ISNA(VLOOKUP((CONCATENATE("Standing Long Jump-",I203,"-",Input!J203)),points11,2,)),0,VLOOKUP((CONCATENATE("Standing Long Jump-",I203,"-",Input!J203)),points11,2,))</f>
        <v>0</v>
      </c>
      <c r="Y203">
        <f>IF(ISNA(VLOOKUP((CONCATENATE("Speed Bounce-",I203,"-",Input!K203)),points11,2,)),0,VLOOKUP((CONCATENATE("Speed Bounce-",I203,"-",Input!K203)),points11,2,))</f>
        <v>0</v>
      </c>
      <c r="Z203">
        <f>IF(ISNA(VLOOKUP((CONCATENATE("Target Throw-",I203,"-",Input!L203)),points11,2,)),0,VLOOKUP((CONCATENATE("Target Throw-",I203,"-",Input!L203)),points11,2,))</f>
        <v>0</v>
      </c>
      <c r="AA203">
        <f>IF(ISNA(VLOOKUP((CONCATENATE("Hi-Stepper-",I203,"-",Input!M203)),points11,2,)),0,VLOOKUP((CONCATENATE("Hi-Stepper-",I203,"-",Input!M203)),points11,2,))</f>
        <v>0</v>
      </c>
      <c r="AB203">
        <f>IF(ISNA(VLOOKUP((CONCATENATE("Chest Push-",I203,"-",Input!N203)),points11,2,)),0,VLOOKUP((CONCATENATE("Chest Push-",I203,"-",Input!N203)),points11,2,))</f>
        <v>0</v>
      </c>
      <c r="AC203">
        <f>IF(ISNA(VLOOKUP((CONCATENATE("Javelin Throw-",I203,"-",Input!O203)),points11,2,)),0,VLOOKUP((CONCATENATE("Javelin Throw-",I203,"-",Input!O203)),points11,2,))</f>
        <v>0</v>
      </c>
      <c r="AD203">
        <f t="shared" si="42"/>
        <v>0</v>
      </c>
      <c r="AE203" t="str">
        <f t="shared" si="43"/>
        <v xml:space="preserve"> </v>
      </c>
      <c r="AF203">
        <f t="shared" ref="AF203:AF250" si="44">IF(ISNA(VLOOKUP((CONCATENATE(AE203,"-",H203,"-",AD203)),award11,2,)),0,VLOOKUP((CONCATENATE(AE203,"-",H203,"-",AD203)),award11,2,))</f>
        <v>0</v>
      </c>
    </row>
    <row r="204" spans="2:32" ht="15" thickBot="1" x14ac:dyDescent="0.4">
      <c r="B204" s="631"/>
      <c r="C204" s="520">
        <v>2</v>
      </c>
      <c r="D204" s="289">
        <v>17</v>
      </c>
      <c r="E204" s="387"/>
      <c r="F204" s="362"/>
      <c r="G204" s="388"/>
      <c r="H204" s="388"/>
      <c r="I204" s="388"/>
      <c r="J204" s="393"/>
      <c r="K204" s="388"/>
      <c r="L204" s="388"/>
      <c r="M204" s="388"/>
      <c r="N204" s="388"/>
      <c r="O204" s="503"/>
      <c r="P204" s="509">
        <f t="shared" si="34"/>
        <v>0</v>
      </c>
      <c r="Q204" s="445">
        <f t="shared" si="35"/>
        <v>0</v>
      </c>
      <c r="R204" s="445">
        <f t="shared" si="36"/>
        <v>0</v>
      </c>
      <c r="S204" s="445">
        <f t="shared" si="37"/>
        <v>0</v>
      </c>
      <c r="T204" s="445">
        <f t="shared" si="38"/>
        <v>0</v>
      </c>
      <c r="U204" s="445">
        <f t="shared" si="39"/>
        <v>0</v>
      </c>
      <c r="V204" s="445">
        <f t="shared" si="40"/>
        <v>0</v>
      </c>
      <c r="W204" s="446">
        <f t="shared" si="41"/>
        <v>0</v>
      </c>
      <c r="X204">
        <f>IF(ISNA(VLOOKUP((CONCATENATE("Standing Long Jump-",I204,"-",Input!J204)),points11,2,)),0,VLOOKUP((CONCATENATE("Standing Long Jump-",I204,"-",Input!J204)),points11,2,))</f>
        <v>0</v>
      </c>
      <c r="Y204">
        <f>IF(ISNA(VLOOKUP((CONCATENATE("Speed Bounce-",I204,"-",Input!K204)),points11,2,)),0,VLOOKUP((CONCATENATE("Speed Bounce-",I204,"-",Input!K204)),points11,2,))</f>
        <v>0</v>
      </c>
      <c r="Z204">
        <f>IF(ISNA(VLOOKUP((CONCATENATE("Target Throw-",I204,"-",Input!L204)),points11,2,)),0,VLOOKUP((CONCATENATE("Target Throw-",I204,"-",Input!L204)),points11,2,))</f>
        <v>0</v>
      </c>
      <c r="AA204">
        <f>IF(ISNA(VLOOKUP((CONCATENATE("Hi-Stepper-",I204,"-",Input!M204)),points11,2,)),0,VLOOKUP((CONCATENATE("Hi-Stepper-",I204,"-",Input!M204)),points11,2,))</f>
        <v>0</v>
      </c>
      <c r="AB204">
        <f>IF(ISNA(VLOOKUP((CONCATENATE("Chest Push-",I204,"-",Input!N204)),points11,2,)),0,VLOOKUP((CONCATENATE("Chest Push-",I204,"-",Input!N204)),points11,2,))</f>
        <v>0</v>
      </c>
      <c r="AC204">
        <f>IF(ISNA(VLOOKUP((CONCATENATE("Javelin Throw-",I204,"-",Input!O204)),points11,2,)),0,VLOOKUP((CONCATENATE("Javelin Throw-",I204,"-",Input!O204)),points11,2,))</f>
        <v>0</v>
      </c>
      <c r="AD204">
        <f t="shared" si="42"/>
        <v>0</v>
      </c>
      <c r="AE204" t="str">
        <f t="shared" si="43"/>
        <v xml:space="preserve"> </v>
      </c>
      <c r="AF204">
        <f t="shared" si="44"/>
        <v>0</v>
      </c>
    </row>
    <row r="205" spans="2:32" ht="15" thickBot="1" x14ac:dyDescent="0.4">
      <c r="B205" s="631"/>
      <c r="C205" s="520">
        <v>3</v>
      </c>
      <c r="D205" s="289">
        <v>17</v>
      </c>
      <c r="E205" s="387"/>
      <c r="F205" s="362"/>
      <c r="G205" s="388"/>
      <c r="H205" s="388"/>
      <c r="I205" s="388"/>
      <c r="J205" s="393"/>
      <c r="K205" s="388"/>
      <c r="L205" s="388"/>
      <c r="M205" s="388"/>
      <c r="N205" s="388"/>
      <c r="O205" s="503"/>
      <c r="P205" s="509">
        <f t="shared" si="34"/>
        <v>0</v>
      </c>
      <c r="Q205" s="445">
        <f t="shared" si="35"/>
        <v>0</v>
      </c>
      <c r="R205" s="445">
        <f t="shared" si="36"/>
        <v>0</v>
      </c>
      <c r="S205" s="445">
        <f t="shared" si="37"/>
        <v>0</v>
      </c>
      <c r="T205" s="445">
        <f t="shared" si="38"/>
        <v>0</v>
      </c>
      <c r="U205" s="445">
        <f t="shared" si="39"/>
        <v>0</v>
      </c>
      <c r="V205" s="445">
        <f t="shared" si="40"/>
        <v>0</v>
      </c>
      <c r="W205" s="446">
        <f t="shared" si="41"/>
        <v>0</v>
      </c>
      <c r="X205">
        <f>IF(ISNA(VLOOKUP((CONCATENATE("Standing Long Jump-",I205,"-",Input!J205)),points11,2,)),0,VLOOKUP((CONCATENATE("Standing Long Jump-",I205,"-",Input!J205)),points11,2,))</f>
        <v>0</v>
      </c>
      <c r="Y205">
        <f>IF(ISNA(VLOOKUP((CONCATENATE("Speed Bounce-",I205,"-",Input!K205)),points11,2,)),0,VLOOKUP((CONCATENATE("Speed Bounce-",I205,"-",Input!K205)),points11,2,))</f>
        <v>0</v>
      </c>
      <c r="Z205">
        <f>IF(ISNA(VLOOKUP((CONCATENATE("Target Throw-",I205,"-",Input!L205)),points11,2,)),0,VLOOKUP((CONCATENATE("Target Throw-",I205,"-",Input!L205)),points11,2,))</f>
        <v>0</v>
      </c>
      <c r="AA205">
        <f>IF(ISNA(VLOOKUP((CONCATENATE("Hi-Stepper-",I205,"-",Input!M205)),points11,2,)),0,VLOOKUP((CONCATENATE("Hi-Stepper-",I205,"-",Input!M205)),points11,2,))</f>
        <v>0</v>
      </c>
      <c r="AB205">
        <f>IF(ISNA(VLOOKUP((CONCATENATE("Chest Push-",I205,"-",Input!N205)),points11,2,)),0,VLOOKUP((CONCATENATE("Chest Push-",I205,"-",Input!N205)),points11,2,))</f>
        <v>0</v>
      </c>
      <c r="AC205">
        <f>IF(ISNA(VLOOKUP((CONCATENATE("Javelin Throw-",I205,"-",Input!O205)),points11,2,)),0,VLOOKUP((CONCATENATE("Javelin Throw-",I205,"-",Input!O205)),points11,2,))</f>
        <v>0</v>
      </c>
      <c r="AD205">
        <f t="shared" si="42"/>
        <v>0</v>
      </c>
      <c r="AE205" t="str">
        <f t="shared" si="43"/>
        <v xml:space="preserve"> </v>
      </c>
      <c r="AF205">
        <f t="shared" si="44"/>
        <v>0</v>
      </c>
    </row>
    <row r="206" spans="2:32" ht="15" thickBot="1" x14ac:dyDescent="0.4">
      <c r="B206" s="631"/>
      <c r="C206" s="520">
        <v>4</v>
      </c>
      <c r="D206" s="289">
        <v>17</v>
      </c>
      <c r="E206" s="387"/>
      <c r="F206" s="362"/>
      <c r="G206" s="388"/>
      <c r="H206" s="388"/>
      <c r="I206" s="388"/>
      <c r="J206" s="393"/>
      <c r="K206" s="388"/>
      <c r="L206" s="388"/>
      <c r="M206" s="388"/>
      <c r="N206" s="388"/>
      <c r="O206" s="503"/>
      <c r="P206" s="509">
        <f t="shared" si="34"/>
        <v>0</v>
      </c>
      <c r="Q206" s="445">
        <f t="shared" si="35"/>
        <v>0</v>
      </c>
      <c r="R206" s="445">
        <f t="shared" si="36"/>
        <v>0</v>
      </c>
      <c r="S206" s="445">
        <f t="shared" si="37"/>
        <v>0</v>
      </c>
      <c r="T206" s="445">
        <f t="shared" si="38"/>
        <v>0</v>
      </c>
      <c r="U206" s="445">
        <f t="shared" si="39"/>
        <v>0</v>
      </c>
      <c r="V206" s="445">
        <f t="shared" si="40"/>
        <v>0</v>
      </c>
      <c r="W206" s="446">
        <f t="shared" si="41"/>
        <v>0</v>
      </c>
      <c r="X206">
        <f>IF(ISNA(VLOOKUP((CONCATENATE("Standing Long Jump-",I206,"-",Input!J206)),points11,2,)),0,VLOOKUP((CONCATENATE("Standing Long Jump-",I206,"-",Input!J206)),points11,2,))</f>
        <v>0</v>
      </c>
      <c r="Y206">
        <f>IF(ISNA(VLOOKUP((CONCATENATE("Speed Bounce-",I206,"-",Input!K206)),points11,2,)),0,VLOOKUP((CONCATENATE("Speed Bounce-",I206,"-",Input!K206)),points11,2,))</f>
        <v>0</v>
      </c>
      <c r="Z206">
        <f>IF(ISNA(VLOOKUP((CONCATENATE("Target Throw-",I206,"-",Input!L206)),points11,2,)),0,VLOOKUP((CONCATENATE("Target Throw-",I206,"-",Input!L206)),points11,2,))</f>
        <v>0</v>
      </c>
      <c r="AA206">
        <f>IF(ISNA(VLOOKUP((CONCATENATE("Hi-Stepper-",I206,"-",Input!M206)),points11,2,)),0,VLOOKUP((CONCATENATE("Hi-Stepper-",I206,"-",Input!M206)),points11,2,))</f>
        <v>0</v>
      </c>
      <c r="AB206">
        <f>IF(ISNA(VLOOKUP((CONCATENATE("Chest Push-",I206,"-",Input!N206)),points11,2,)),0,VLOOKUP((CONCATENATE("Chest Push-",I206,"-",Input!N206)),points11,2,))</f>
        <v>0</v>
      </c>
      <c r="AC206">
        <f>IF(ISNA(VLOOKUP((CONCATENATE("Javelin Throw-",I206,"-",Input!O206)),points11,2,)),0,VLOOKUP((CONCATENATE("Javelin Throw-",I206,"-",Input!O206)),points11,2,))</f>
        <v>0</v>
      </c>
      <c r="AD206">
        <f t="shared" si="42"/>
        <v>0</v>
      </c>
      <c r="AE206" t="str">
        <f t="shared" si="43"/>
        <v xml:space="preserve"> </v>
      </c>
      <c r="AF206">
        <f t="shared" si="44"/>
        <v>0</v>
      </c>
    </row>
    <row r="207" spans="2:32" ht="15" thickBot="1" x14ac:dyDescent="0.4">
      <c r="B207" s="631"/>
      <c r="C207" s="520">
        <v>5</v>
      </c>
      <c r="D207" s="289">
        <v>17</v>
      </c>
      <c r="E207" s="387"/>
      <c r="F207" s="362"/>
      <c r="G207" s="388"/>
      <c r="H207" s="388"/>
      <c r="I207" s="388"/>
      <c r="J207" s="393"/>
      <c r="K207" s="388"/>
      <c r="L207" s="388"/>
      <c r="M207" s="388"/>
      <c r="N207" s="388"/>
      <c r="O207" s="503"/>
      <c r="P207" s="509">
        <f t="shared" si="34"/>
        <v>0</v>
      </c>
      <c r="Q207" s="445">
        <f t="shared" si="35"/>
        <v>0</v>
      </c>
      <c r="R207" s="445">
        <f t="shared" si="36"/>
        <v>0</v>
      </c>
      <c r="S207" s="445">
        <f t="shared" si="37"/>
        <v>0</v>
      </c>
      <c r="T207" s="445">
        <f t="shared" si="38"/>
        <v>0</v>
      </c>
      <c r="U207" s="445">
        <f t="shared" si="39"/>
        <v>0</v>
      </c>
      <c r="V207" s="445">
        <f t="shared" si="40"/>
        <v>0</v>
      </c>
      <c r="W207" s="446">
        <f t="shared" si="41"/>
        <v>0</v>
      </c>
      <c r="X207">
        <f>IF(ISNA(VLOOKUP((CONCATENATE("Standing Long Jump-",I207,"-",Input!J207)),points11,2,)),0,VLOOKUP((CONCATENATE("Standing Long Jump-",I207,"-",Input!J207)),points11,2,))</f>
        <v>0</v>
      </c>
      <c r="Y207">
        <f>IF(ISNA(VLOOKUP((CONCATENATE("Speed Bounce-",I207,"-",Input!K207)),points11,2,)),0,VLOOKUP((CONCATENATE("Speed Bounce-",I207,"-",Input!K207)),points11,2,))</f>
        <v>0</v>
      </c>
      <c r="Z207">
        <f>IF(ISNA(VLOOKUP((CONCATENATE("Target Throw-",I207,"-",Input!L207)),points11,2,)),0,VLOOKUP((CONCATENATE("Target Throw-",I207,"-",Input!L207)),points11,2,))</f>
        <v>0</v>
      </c>
      <c r="AA207">
        <f>IF(ISNA(VLOOKUP((CONCATENATE("Hi-Stepper-",I207,"-",Input!M207)),points11,2,)),0,VLOOKUP((CONCATENATE("Hi-Stepper-",I207,"-",Input!M207)),points11,2,))</f>
        <v>0</v>
      </c>
      <c r="AB207">
        <f>IF(ISNA(VLOOKUP((CONCATENATE("Chest Push-",I207,"-",Input!N207)),points11,2,)),0,VLOOKUP((CONCATENATE("Chest Push-",I207,"-",Input!N207)),points11,2,))</f>
        <v>0</v>
      </c>
      <c r="AC207">
        <f>IF(ISNA(VLOOKUP((CONCATENATE("Javelin Throw-",I207,"-",Input!O207)),points11,2,)),0,VLOOKUP((CONCATENATE("Javelin Throw-",I207,"-",Input!O207)),points11,2,))</f>
        <v>0</v>
      </c>
      <c r="AD207">
        <f t="shared" si="42"/>
        <v>0</v>
      </c>
      <c r="AE207" t="str">
        <f t="shared" si="43"/>
        <v xml:space="preserve"> </v>
      </c>
      <c r="AF207">
        <f t="shared" si="44"/>
        <v>0</v>
      </c>
    </row>
    <row r="208" spans="2:32" ht="15" thickBot="1" x14ac:dyDescent="0.4">
      <c r="B208" s="631"/>
      <c r="C208" s="520">
        <v>6</v>
      </c>
      <c r="D208" s="289">
        <v>17</v>
      </c>
      <c r="E208" s="387"/>
      <c r="F208" s="362"/>
      <c r="G208" s="388"/>
      <c r="H208" s="388"/>
      <c r="I208" s="388"/>
      <c r="J208" s="393"/>
      <c r="K208" s="388"/>
      <c r="L208" s="388"/>
      <c r="M208" s="388"/>
      <c r="N208" s="388"/>
      <c r="O208" s="503"/>
      <c r="P208" s="509">
        <f t="shared" si="34"/>
        <v>0</v>
      </c>
      <c r="Q208" s="445">
        <f t="shared" si="35"/>
        <v>0</v>
      </c>
      <c r="R208" s="445">
        <f t="shared" si="36"/>
        <v>0</v>
      </c>
      <c r="S208" s="445">
        <f t="shared" si="37"/>
        <v>0</v>
      </c>
      <c r="T208" s="445">
        <f t="shared" si="38"/>
        <v>0</v>
      </c>
      <c r="U208" s="445">
        <f t="shared" si="39"/>
        <v>0</v>
      </c>
      <c r="V208" s="445">
        <f t="shared" si="40"/>
        <v>0</v>
      </c>
      <c r="W208" s="446">
        <f t="shared" si="41"/>
        <v>0</v>
      </c>
      <c r="X208">
        <f>IF(ISNA(VLOOKUP((CONCATENATE("Standing Long Jump-",I208,"-",Input!J208)),points11,2,)),0,VLOOKUP((CONCATENATE("Standing Long Jump-",I208,"-",Input!J208)),points11,2,))</f>
        <v>0</v>
      </c>
      <c r="Y208">
        <f>IF(ISNA(VLOOKUP((CONCATENATE("Speed Bounce-",I208,"-",Input!K208)),points11,2,)),0,VLOOKUP((CONCATENATE("Speed Bounce-",I208,"-",Input!K208)),points11,2,))</f>
        <v>0</v>
      </c>
      <c r="Z208">
        <f>IF(ISNA(VLOOKUP((CONCATENATE("Target Throw-",I208,"-",Input!L208)),points11,2,)),0,VLOOKUP((CONCATENATE("Target Throw-",I208,"-",Input!L208)),points11,2,))</f>
        <v>0</v>
      </c>
      <c r="AA208">
        <f>IF(ISNA(VLOOKUP((CONCATENATE("Hi-Stepper-",I208,"-",Input!M208)),points11,2,)),0,VLOOKUP((CONCATENATE("Hi-Stepper-",I208,"-",Input!M208)),points11,2,))</f>
        <v>0</v>
      </c>
      <c r="AB208">
        <f>IF(ISNA(VLOOKUP((CONCATENATE("Chest Push-",I208,"-",Input!N208)),points11,2,)),0,VLOOKUP((CONCATENATE("Chest Push-",I208,"-",Input!N208)),points11,2,))</f>
        <v>0</v>
      </c>
      <c r="AC208">
        <f>IF(ISNA(VLOOKUP((CONCATENATE("Javelin Throw-",I208,"-",Input!O208)),points11,2,)),0,VLOOKUP((CONCATENATE("Javelin Throw-",I208,"-",Input!O208)),points11,2,))</f>
        <v>0</v>
      </c>
      <c r="AD208">
        <f t="shared" si="42"/>
        <v>0</v>
      </c>
      <c r="AE208" t="str">
        <f t="shared" si="43"/>
        <v xml:space="preserve"> </v>
      </c>
      <c r="AF208">
        <f t="shared" si="44"/>
        <v>0</v>
      </c>
    </row>
    <row r="209" spans="2:32" ht="15" thickBot="1" x14ac:dyDescent="0.4">
      <c r="B209" s="631"/>
      <c r="C209" s="520">
        <v>7</v>
      </c>
      <c r="D209" s="289">
        <v>17</v>
      </c>
      <c r="E209" s="387"/>
      <c r="F209" s="362"/>
      <c r="G209" s="388"/>
      <c r="H209" s="388"/>
      <c r="I209" s="388"/>
      <c r="J209" s="393"/>
      <c r="K209" s="388"/>
      <c r="L209" s="388"/>
      <c r="M209" s="388"/>
      <c r="N209" s="388"/>
      <c r="O209" s="503"/>
      <c r="P209" s="509">
        <f t="shared" si="34"/>
        <v>0</v>
      </c>
      <c r="Q209" s="445">
        <f t="shared" si="35"/>
        <v>0</v>
      </c>
      <c r="R209" s="445">
        <f t="shared" si="36"/>
        <v>0</v>
      </c>
      <c r="S209" s="445">
        <f t="shared" si="37"/>
        <v>0</v>
      </c>
      <c r="T209" s="445">
        <f t="shared" si="38"/>
        <v>0</v>
      </c>
      <c r="U209" s="445">
        <f t="shared" si="39"/>
        <v>0</v>
      </c>
      <c r="V209" s="445">
        <f t="shared" si="40"/>
        <v>0</v>
      </c>
      <c r="W209" s="446">
        <f t="shared" si="41"/>
        <v>0</v>
      </c>
      <c r="X209">
        <f>IF(ISNA(VLOOKUP((CONCATENATE("Standing Long Jump-",I209,"-",Input!J209)),points11,2,)),0,VLOOKUP((CONCATENATE("Standing Long Jump-",I209,"-",Input!J209)),points11,2,))</f>
        <v>0</v>
      </c>
      <c r="Y209">
        <f>IF(ISNA(VLOOKUP((CONCATENATE("Speed Bounce-",I209,"-",Input!K209)),points11,2,)),0,VLOOKUP((CONCATENATE("Speed Bounce-",I209,"-",Input!K209)),points11,2,))</f>
        <v>0</v>
      </c>
      <c r="Z209">
        <f>IF(ISNA(VLOOKUP((CONCATENATE("Target Throw-",I209,"-",Input!L209)),points11,2,)),0,VLOOKUP((CONCATENATE("Target Throw-",I209,"-",Input!L209)),points11,2,))</f>
        <v>0</v>
      </c>
      <c r="AA209">
        <f>IF(ISNA(VLOOKUP((CONCATENATE("Hi-Stepper-",I209,"-",Input!M209)),points11,2,)),0,VLOOKUP((CONCATENATE("Hi-Stepper-",I209,"-",Input!M209)),points11,2,))</f>
        <v>0</v>
      </c>
      <c r="AB209">
        <f>IF(ISNA(VLOOKUP((CONCATENATE("Chest Push-",I209,"-",Input!N209)),points11,2,)),0,VLOOKUP((CONCATENATE("Chest Push-",I209,"-",Input!N209)),points11,2,))</f>
        <v>0</v>
      </c>
      <c r="AC209">
        <f>IF(ISNA(VLOOKUP((CONCATENATE("Javelin Throw-",I209,"-",Input!O209)),points11,2,)),0,VLOOKUP((CONCATENATE("Javelin Throw-",I209,"-",Input!O209)),points11,2,))</f>
        <v>0</v>
      </c>
      <c r="AD209">
        <f t="shared" si="42"/>
        <v>0</v>
      </c>
      <c r="AE209" t="str">
        <f t="shared" si="43"/>
        <v xml:space="preserve"> </v>
      </c>
      <c r="AF209">
        <f t="shared" si="44"/>
        <v>0</v>
      </c>
    </row>
    <row r="210" spans="2:32" ht="15" thickBot="1" x14ac:dyDescent="0.4">
      <c r="B210" s="631"/>
      <c r="C210" s="520">
        <v>8</v>
      </c>
      <c r="D210" s="289">
        <v>17</v>
      </c>
      <c r="E210" s="387"/>
      <c r="F210" s="362"/>
      <c r="G210" s="388"/>
      <c r="H210" s="388"/>
      <c r="I210" s="388"/>
      <c r="J210" s="393"/>
      <c r="K210" s="388"/>
      <c r="L210" s="388"/>
      <c r="M210" s="388"/>
      <c r="N210" s="388"/>
      <c r="O210" s="503"/>
      <c r="P210" s="509">
        <f t="shared" si="34"/>
        <v>0</v>
      </c>
      <c r="Q210" s="445">
        <f t="shared" si="35"/>
        <v>0</v>
      </c>
      <c r="R210" s="445">
        <f t="shared" si="36"/>
        <v>0</v>
      </c>
      <c r="S210" s="445">
        <f t="shared" si="37"/>
        <v>0</v>
      </c>
      <c r="T210" s="445">
        <f t="shared" si="38"/>
        <v>0</v>
      </c>
      <c r="U210" s="445">
        <f t="shared" si="39"/>
        <v>0</v>
      </c>
      <c r="V210" s="445">
        <f t="shared" si="40"/>
        <v>0</v>
      </c>
      <c r="W210" s="446">
        <f t="shared" si="41"/>
        <v>0</v>
      </c>
      <c r="X210">
        <f>IF(ISNA(VLOOKUP((CONCATENATE("Standing Long Jump-",I210,"-",Input!J210)),points11,2,)),0,VLOOKUP((CONCATENATE("Standing Long Jump-",I210,"-",Input!J210)),points11,2,))</f>
        <v>0</v>
      </c>
      <c r="Y210">
        <f>IF(ISNA(VLOOKUP((CONCATENATE("Speed Bounce-",I210,"-",Input!K210)),points11,2,)),0,VLOOKUP((CONCATENATE("Speed Bounce-",I210,"-",Input!K210)),points11,2,))</f>
        <v>0</v>
      </c>
      <c r="Z210">
        <f>IF(ISNA(VLOOKUP((CONCATENATE("Target Throw-",I210,"-",Input!L210)),points11,2,)),0,VLOOKUP((CONCATENATE("Target Throw-",I210,"-",Input!L210)),points11,2,))</f>
        <v>0</v>
      </c>
      <c r="AA210">
        <f>IF(ISNA(VLOOKUP((CONCATENATE("Hi-Stepper-",I210,"-",Input!M210)),points11,2,)),0,VLOOKUP((CONCATENATE("Hi-Stepper-",I210,"-",Input!M210)),points11,2,))</f>
        <v>0</v>
      </c>
      <c r="AB210">
        <f>IF(ISNA(VLOOKUP((CONCATENATE("Chest Push-",I210,"-",Input!N210)),points11,2,)),0,VLOOKUP((CONCATENATE("Chest Push-",I210,"-",Input!N210)),points11,2,))</f>
        <v>0</v>
      </c>
      <c r="AC210">
        <f>IF(ISNA(VLOOKUP((CONCATENATE("Javelin Throw-",I210,"-",Input!O210)),points11,2,)),0,VLOOKUP((CONCATENATE("Javelin Throw-",I210,"-",Input!O210)),points11,2,))</f>
        <v>0</v>
      </c>
      <c r="AD210">
        <f t="shared" si="42"/>
        <v>0</v>
      </c>
      <c r="AE210" t="str">
        <f t="shared" si="43"/>
        <v xml:space="preserve"> </v>
      </c>
      <c r="AF210">
        <f t="shared" si="44"/>
        <v>0</v>
      </c>
    </row>
    <row r="211" spans="2:32" ht="15" thickBot="1" x14ac:dyDescent="0.4">
      <c r="B211" s="631"/>
      <c r="C211" s="520">
        <v>9</v>
      </c>
      <c r="D211" s="289">
        <v>17</v>
      </c>
      <c r="E211" s="387"/>
      <c r="F211" s="362"/>
      <c r="G211" s="388"/>
      <c r="H211" s="388"/>
      <c r="I211" s="388"/>
      <c r="J211" s="393"/>
      <c r="K211" s="388"/>
      <c r="L211" s="388"/>
      <c r="M211" s="388"/>
      <c r="N211" s="388"/>
      <c r="O211" s="503"/>
      <c r="P211" s="509">
        <f t="shared" si="34"/>
        <v>0</v>
      </c>
      <c r="Q211" s="445">
        <f t="shared" si="35"/>
        <v>0</v>
      </c>
      <c r="R211" s="445">
        <f t="shared" si="36"/>
        <v>0</v>
      </c>
      <c r="S211" s="445">
        <f t="shared" si="37"/>
        <v>0</v>
      </c>
      <c r="T211" s="445">
        <f t="shared" si="38"/>
        <v>0</v>
      </c>
      <c r="U211" s="445">
        <f t="shared" si="39"/>
        <v>0</v>
      </c>
      <c r="V211" s="445">
        <f t="shared" si="40"/>
        <v>0</v>
      </c>
      <c r="W211" s="446">
        <f t="shared" si="41"/>
        <v>0</v>
      </c>
      <c r="X211">
        <f>IF(ISNA(VLOOKUP((CONCATENATE("Standing Long Jump-",I211,"-",Input!J211)),points11,2,)),0,VLOOKUP((CONCATENATE("Standing Long Jump-",I211,"-",Input!J211)),points11,2,))</f>
        <v>0</v>
      </c>
      <c r="Y211">
        <f>IF(ISNA(VLOOKUP((CONCATENATE("Speed Bounce-",I211,"-",Input!K211)),points11,2,)),0,VLOOKUP((CONCATENATE("Speed Bounce-",I211,"-",Input!K211)),points11,2,))</f>
        <v>0</v>
      </c>
      <c r="Z211">
        <f>IF(ISNA(VLOOKUP((CONCATENATE("Target Throw-",I211,"-",Input!L211)),points11,2,)),0,VLOOKUP((CONCATENATE("Target Throw-",I211,"-",Input!L211)),points11,2,))</f>
        <v>0</v>
      </c>
      <c r="AA211">
        <f>IF(ISNA(VLOOKUP((CONCATENATE("Hi-Stepper-",I211,"-",Input!M211)),points11,2,)),0,VLOOKUP((CONCATENATE("Hi-Stepper-",I211,"-",Input!M211)),points11,2,))</f>
        <v>0</v>
      </c>
      <c r="AB211">
        <f>IF(ISNA(VLOOKUP((CONCATENATE("Chest Push-",I211,"-",Input!N211)),points11,2,)),0,VLOOKUP((CONCATENATE("Chest Push-",I211,"-",Input!N211)),points11,2,))</f>
        <v>0</v>
      </c>
      <c r="AC211">
        <f>IF(ISNA(VLOOKUP((CONCATENATE("Javelin Throw-",I211,"-",Input!O211)),points11,2,)),0,VLOOKUP((CONCATENATE("Javelin Throw-",I211,"-",Input!O211)),points11,2,))</f>
        <v>0</v>
      </c>
      <c r="AD211">
        <f t="shared" si="42"/>
        <v>0</v>
      </c>
      <c r="AE211" t="str">
        <f t="shared" si="43"/>
        <v xml:space="preserve"> </v>
      </c>
      <c r="AF211">
        <f t="shared" si="44"/>
        <v>0</v>
      </c>
    </row>
    <row r="212" spans="2:32" ht="15" thickBot="1" x14ac:dyDescent="0.4">
      <c r="B212" s="631"/>
      <c r="C212" s="520">
        <v>10</v>
      </c>
      <c r="D212" s="289">
        <v>17</v>
      </c>
      <c r="E212" s="387"/>
      <c r="F212" s="362"/>
      <c r="G212" s="388"/>
      <c r="H212" s="388"/>
      <c r="I212" s="388"/>
      <c r="J212" s="393"/>
      <c r="K212" s="388"/>
      <c r="L212" s="388"/>
      <c r="M212" s="388"/>
      <c r="N212" s="388"/>
      <c r="O212" s="503"/>
      <c r="P212" s="509">
        <f t="shared" si="34"/>
        <v>0</v>
      </c>
      <c r="Q212" s="445">
        <f t="shared" si="35"/>
        <v>0</v>
      </c>
      <c r="R212" s="445">
        <f t="shared" si="36"/>
        <v>0</v>
      </c>
      <c r="S212" s="445">
        <f t="shared" si="37"/>
        <v>0</v>
      </c>
      <c r="T212" s="445">
        <f t="shared" si="38"/>
        <v>0</v>
      </c>
      <c r="U212" s="445">
        <f t="shared" si="39"/>
        <v>0</v>
      </c>
      <c r="V212" s="445">
        <f t="shared" si="40"/>
        <v>0</v>
      </c>
      <c r="W212" s="446">
        <f t="shared" si="41"/>
        <v>0</v>
      </c>
      <c r="X212">
        <f>IF(ISNA(VLOOKUP((CONCATENATE("Standing Long Jump-",I212,"-",Input!J212)),points11,2,)),0,VLOOKUP((CONCATENATE("Standing Long Jump-",I212,"-",Input!J212)),points11,2,))</f>
        <v>0</v>
      </c>
      <c r="Y212">
        <f>IF(ISNA(VLOOKUP((CONCATENATE("Speed Bounce-",I212,"-",Input!K212)),points11,2,)),0,VLOOKUP((CONCATENATE("Speed Bounce-",I212,"-",Input!K212)),points11,2,))</f>
        <v>0</v>
      </c>
      <c r="Z212">
        <f>IF(ISNA(VLOOKUP((CONCATENATE("Target Throw-",I212,"-",Input!L212)),points11,2,)),0,VLOOKUP((CONCATENATE("Target Throw-",I212,"-",Input!L212)),points11,2,))</f>
        <v>0</v>
      </c>
      <c r="AA212">
        <f>IF(ISNA(VLOOKUP((CONCATENATE("Hi-Stepper-",I212,"-",Input!M212)),points11,2,)),0,VLOOKUP((CONCATENATE("Hi-Stepper-",I212,"-",Input!M212)),points11,2,))</f>
        <v>0</v>
      </c>
      <c r="AB212">
        <f>IF(ISNA(VLOOKUP((CONCATENATE("Chest Push-",I212,"-",Input!N212)),points11,2,)),0,VLOOKUP((CONCATENATE("Chest Push-",I212,"-",Input!N212)),points11,2,))</f>
        <v>0</v>
      </c>
      <c r="AC212">
        <f>IF(ISNA(VLOOKUP((CONCATENATE("Javelin Throw-",I212,"-",Input!O212)),points11,2,)),0,VLOOKUP((CONCATENATE("Javelin Throw-",I212,"-",Input!O212)),points11,2,))</f>
        <v>0</v>
      </c>
      <c r="AD212">
        <f t="shared" si="42"/>
        <v>0</v>
      </c>
      <c r="AE212" t="str">
        <f t="shared" si="43"/>
        <v xml:space="preserve"> </v>
      </c>
      <c r="AF212">
        <f t="shared" si="44"/>
        <v>0</v>
      </c>
    </row>
    <row r="213" spans="2:32" ht="15" thickBot="1" x14ac:dyDescent="0.4">
      <c r="B213" s="631"/>
      <c r="C213" s="520">
        <v>11</v>
      </c>
      <c r="D213" s="289">
        <v>17</v>
      </c>
      <c r="E213" s="387"/>
      <c r="F213" s="362"/>
      <c r="G213" s="388"/>
      <c r="H213" s="388"/>
      <c r="I213" s="388"/>
      <c r="J213" s="393"/>
      <c r="K213" s="388"/>
      <c r="L213" s="388"/>
      <c r="M213" s="388"/>
      <c r="N213" s="388"/>
      <c r="O213" s="503"/>
      <c r="P213" s="509">
        <f t="shared" si="34"/>
        <v>0</v>
      </c>
      <c r="Q213" s="445">
        <f t="shared" si="35"/>
        <v>0</v>
      </c>
      <c r="R213" s="445">
        <f t="shared" si="36"/>
        <v>0</v>
      </c>
      <c r="S213" s="445">
        <f t="shared" si="37"/>
        <v>0</v>
      </c>
      <c r="T213" s="445">
        <f t="shared" si="38"/>
        <v>0</v>
      </c>
      <c r="U213" s="445">
        <f t="shared" si="39"/>
        <v>0</v>
      </c>
      <c r="V213" s="445">
        <f t="shared" si="40"/>
        <v>0</v>
      </c>
      <c r="W213" s="446">
        <f t="shared" si="41"/>
        <v>0</v>
      </c>
      <c r="X213">
        <f>IF(ISNA(VLOOKUP((CONCATENATE("Standing Long Jump-",I213,"-",Input!J213)),points11,2,)),0,VLOOKUP((CONCATENATE("Standing Long Jump-",I213,"-",Input!J213)),points11,2,))</f>
        <v>0</v>
      </c>
      <c r="Y213">
        <f>IF(ISNA(VLOOKUP((CONCATENATE("Speed Bounce-",I213,"-",Input!K213)),points11,2,)),0,VLOOKUP((CONCATENATE("Speed Bounce-",I213,"-",Input!K213)),points11,2,))</f>
        <v>0</v>
      </c>
      <c r="Z213">
        <f>IF(ISNA(VLOOKUP((CONCATENATE("Target Throw-",I213,"-",Input!L213)),points11,2,)),0,VLOOKUP((CONCATENATE("Target Throw-",I213,"-",Input!L213)),points11,2,))</f>
        <v>0</v>
      </c>
      <c r="AA213">
        <f>IF(ISNA(VLOOKUP((CONCATENATE("Hi-Stepper-",I213,"-",Input!M213)),points11,2,)),0,VLOOKUP((CONCATENATE("Hi-Stepper-",I213,"-",Input!M213)),points11,2,))</f>
        <v>0</v>
      </c>
      <c r="AB213">
        <f>IF(ISNA(VLOOKUP((CONCATENATE("Chest Push-",I213,"-",Input!N213)),points11,2,)),0,VLOOKUP((CONCATENATE("Chest Push-",I213,"-",Input!N213)),points11,2,))</f>
        <v>0</v>
      </c>
      <c r="AC213">
        <f>IF(ISNA(VLOOKUP((CONCATENATE("Javelin Throw-",I213,"-",Input!O213)),points11,2,)),0,VLOOKUP((CONCATENATE("Javelin Throw-",I213,"-",Input!O213)),points11,2,))</f>
        <v>0</v>
      </c>
      <c r="AD213">
        <f t="shared" si="42"/>
        <v>0</v>
      </c>
      <c r="AE213" t="str">
        <f t="shared" si="43"/>
        <v xml:space="preserve"> </v>
      </c>
      <c r="AF213">
        <f t="shared" si="44"/>
        <v>0</v>
      </c>
    </row>
    <row r="214" spans="2:32" ht="15" thickBot="1" x14ac:dyDescent="0.4">
      <c r="B214" s="631"/>
      <c r="C214" s="520">
        <v>12</v>
      </c>
      <c r="D214" s="289">
        <v>17</v>
      </c>
      <c r="E214" s="394"/>
      <c r="F214" s="395"/>
      <c r="G214" s="396"/>
      <c r="H214" s="396"/>
      <c r="I214" s="396"/>
      <c r="J214" s="397"/>
      <c r="K214" s="396"/>
      <c r="L214" s="396"/>
      <c r="M214" s="396"/>
      <c r="N214" s="396"/>
      <c r="O214" s="506"/>
      <c r="P214" s="510">
        <f t="shared" si="34"/>
        <v>0</v>
      </c>
      <c r="Q214" s="447">
        <f t="shared" si="35"/>
        <v>0</v>
      </c>
      <c r="R214" s="447">
        <f t="shared" si="36"/>
        <v>0</v>
      </c>
      <c r="S214" s="447">
        <f t="shared" si="37"/>
        <v>0</v>
      </c>
      <c r="T214" s="447">
        <f t="shared" si="38"/>
        <v>0</v>
      </c>
      <c r="U214" s="447">
        <f t="shared" si="39"/>
        <v>0</v>
      </c>
      <c r="V214" s="447">
        <f t="shared" si="40"/>
        <v>0</v>
      </c>
      <c r="W214" s="448">
        <f t="shared" si="41"/>
        <v>0</v>
      </c>
      <c r="X214">
        <f>IF(ISNA(VLOOKUP((CONCATENATE("Standing Long Jump-",I214,"-",Input!J214)),points11,2,)),0,VLOOKUP((CONCATENATE("Standing Long Jump-",I214,"-",Input!J214)),points11,2,))</f>
        <v>0</v>
      </c>
      <c r="Y214">
        <f>IF(ISNA(VLOOKUP((CONCATENATE("Speed Bounce-",I214,"-",Input!K214)),points11,2,)),0,VLOOKUP((CONCATENATE("Speed Bounce-",I214,"-",Input!K214)),points11,2,))</f>
        <v>0</v>
      </c>
      <c r="Z214">
        <f>IF(ISNA(VLOOKUP((CONCATENATE("Target Throw-",I214,"-",Input!L214)),points11,2,)),0,VLOOKUP((CONCATENATE("Target Throw-",I214,"-",Input!L214)),points11,2,))</f>
        <v>0</v>
      </c>
      <c r="AA214">
        <f>IF(ISNA(VLOOKUP((CONCATENATE("Hi-Stepper-",I214,"-",Input!M214)),points11,2,)),0,VLOOKUP((CONCATENATE("Hi-Stepper-",I214,"-",Input!M214)),points11,2,))</f>
        <v>0</v>
      </c>
      <c r="AB214">
        <f>IF(ISNA(VLOOKUP((CONCATENATE("Chest Push-",I214,"-",Input!N214)),points11,2,)),0,VLOOKUP((CONCATENATE("Chest Push-",I214,"-",Input!N214)),points11,2,))</f>
        <v>0</v>
      </c>
      <c r="AC214">
        <f>IF(ISNA(VLOOKUP((CONCATENATE("Javelin Throw-",I214,"-",Input!O214)),points11,2,)),0,VLOOKUP((CONCATENATE("Javelin Throw-",I214,"-",Input!O214)),points11,2,))</f>
        <v>0</v>
      </c>
      <c r="AD214">
        <f t="shared" si="42"/>
        <v>0</v>
      </c>
      <c r="AE214" t="str">
        <f t="shared" si="43"/>
        <v xml:space="preserve"> </v>
      </c>
      <c r="AF214">
        <f t="shared" si="44"/>
        <v>0</v>
      </c>
    </row>
    <row r="215" spans="2:32" ht="15" thickBot="1" x14ac:dyDescent="0.4">
      <c r="B215" s="631" t="str">
        <f>'Competition Menu'!E18</f>
        <v>Team 18</v>
      </c>
      <c r="C215" s="520">
        <v>1</v>
      </c>
      <c r="D215" s="289">
        <v>18</v>
      </c>
      <c r="E215" s="421"/>
      <c r="F215" s="407"/>
      <c r="G215" s="422"/>
      <c r="H215" s="422"/>
      <c r="I215" s="422"/>
      <c r="J215" s="431"/>
      <c r="K215" s="422"/>
      <c r="L215" s="422"/>
      <c r="M215" s="422"/>
      <c r="N215" s="422"/>
      <c r="O215" s="507"/>
      <c r="P215" s="511">
        <f t="shared" si="34"/>
        <v>0</v>
      </c>
      <c r="Q215" s="449">
        <f t="shared" si="35"/>
        <v>0</v>
      </c>
      <c r="R215" s="449">
        <f t="shared" si="36"/>
        <v>0</v>
      </c>
      <c r="S215" s="449">
        <f t="shared" si="37"/>
        <v>0</v>
      </c>
      <c r="T215" s="449">
        <f t="shared" si="38"/>
        <v>0</v>
      </c>
      <c r="U215" s="449">
        <f t="shared" si="39"/>
        <v>0</v>
      </c>
      <c r="V215" s="449">
        <f t="shared" si="40"/>
        <v>0</v>
      </c>
      <c r="W215" s="450">
        <f t="shared" si="41"/>
        <v>0</v>
      </c>
      <c r="X215">
        <f>IF(ISNA(VLOOKUP((CONCATENATE("Standing Long Jump-",I215,"-",Input!J215)),points11,2,)),0,VLOOKUP((CONCATENATE("Standing Long Jump-",I215,"-",Input!J215)),points11,2,))</f>
        <v>0</v>
      </c>
      <c r="Y215">
        <f>IF(ISNA(VLOOKUP((CONCATENATE("Speed Bounce-",I215,"-",Input!K215)),points11,2,)),0,VLOOKUP((CONCATENATE("Speed Bounce-",I215,"-",Input!K215)),points11,2,))</f>
        <v>0</v>
      </c>
      <c r="Z215">
        <f>IF(ISNA(VLOOKUP((CONCATENATE("Target Throw-",I215,"-",Input!L215)),points11,2,)),0,VLOOKUP((CONCATENATE("Target Throw-",I215,"-",Input!L215)),points11,2,))</f>
        <v>0</v>
      </c>
      <c r="AA215">
        <f>IF(ISNA(VLOOKUP((CONCATENATE("Hi-Stepper-",I215,"-",Input!M215)),points11,2,)),0,VLOOKUP((CONCATENATE("Hi-Stepper-",I215,"-",Input!M215)),points11,2,))</f>
        <v>0</v>
      </c>
      <c r="AB215">
        <f>IF(ISNA(VLOOKUP((CONCATENATE("Chest Push-",I215,"-",Input!N215)),points11,2,)),0,VLOOKUP((CONCATENATE("Chest Push-",I215,"-",Input!N215)),points11,2,))</f>
        <v>0</v>
      </c>
      <c r="AC215">
        <f>IF(ISNA(VLOOKUP((CONCATENATE("Javelin Throw-",I215,"-",Input!O215)),points11,2,)),0,VLOOKUP((CONCATENATE("Javelin Throw-",I215,"-",Input!O215)),points11,2,))</f>
        <v>0</v>
      </c>
      <c r="AD215">
        <f t="shared" si="42"/>
        <v>0</v>
      </c>
      <c r="AE215" t="str">
        <f t="shared" si="43"/>
        <v xml:space="preserve"> </v>
      </c>
      <c r="AF215">
        <f t="shared" si="44"/>
        <v>0</v>
      </c>
    </row>
    <row r="216" spans="2:32" ht="15" thickBot="1" x14ac:dyDescent="0.4">
      <c r="B216" s="631"/>
      <c r="C216" s="520">
        <v>2</v>
      </c>
      <c r="D216" s="289">
        <v>18</v>
      </c>
      <c r="E216" s="387"/>
      <c r="F216" s="362"/>
      <c r="G216" s="388"/>
      <c r="H216" s="388"/>
      <c r="I216" s="388"/>
      <c r="J216" s="393"/>
      <c r="K216" s="388"/>
      <c r="L216" s="388"/>
      <c r="M216" s="388"/>
      <c r="N216" s="388"/>
      <c r="O216" s="503"/>
      <c r="P216" s="509">
        <f t="shared" si="34"/>
        <v>0</v>
      </c>
      <c r="Q216" s="445">
        <f t="shared" si="35"/>
        <v>0</v>
      </c>
      <c r="R216" s="445">
        <f t="shared" si="36"/>
        <v>0</v>
      </c>
      <c r="S216" s="445">
        <f t="shared" si="37"/>
        <v>0</v>
      </c>
      <c r="T216" s="445">
        <f t="shared" si="38"/>
        <v>0</v>
      </c>
      <c r="U216" s="445">
        <f t="shared" si="39"/>
        <v>0</v>
      </c>
      <c r="V216" s="445">
        <f t="shared" si="40"/>
        <v>0</v>
      </c>
      <c r="W216" s="446">
        <f t="shared" si="41"/>
        <v>0</v>
      </c>
      <c r="X216">
        <f>IF(ISNA(VLOOKUP((CONCATENATE("Standing Long Jump-",I216,"-",Input!J216)),points11,2,)),0,VLOOKUP((CONCATENATE("Standing Long Jump-",I216,"-",Input!J216)),points11,2,))</f>
        <v>0</v>
      </c>
      <c r="Y216">
        <f>IF(ISNA(VLOOKUP((CONCATENATE("Speed Bounce-",I216,"-",Input!K216)),points11,2,)),0,VLOOKUP((CONCATENATE("Speed Bounce-",I216,"-",Input!K216)),points11,2,))</f>
        <v>0</v>
      </c>
      <c r="Z216">
        <f>IF(ISNA(VLOOKUP((CONCATENATE("Target Throw-",I216,"-",Input!L216)),points11,2,)),0,VLOOKUP((CONCATENATE("Target Throw-",I216,"-",Input!L216)),points11,2,))</f>
        <v>0</v>
      </c>
      <c r="AA216">
        <f>IF(ISNA(VLOOKUP((CONCATENATE("Hi-Stepper-",I216,"-",Input!M216)),points11,2,)),0,VLOOKUP((CONCATENATE("Hi-Stepper-",I216,"-",Input!M216)),points11,2,))</f>
        <v>0</v>
      </c>
      <c r="AB216">
        <f>IF(ISNA(VLOOKUP((CONCATENATE("Chest Push-",I216,"-",Input!N216)),points11,2,)),0,VLOOKUP((CONCATENATE("Chest Push-",I216,"-",Input!N216)),points11,2,))</f>
        <v>0</v>
      </c>
      <c r="AC216">
        <f>IF(ISNA(VLOOKUP((CONCATENATE("Javelin Throw-",I216,"-",Input!O216)),points11,2,)),0,VLOOKUP((CONCATENATE("Javelin Throw-",I216,"-",Input!O216)),points11,2,))</f>
        <v>0</v>
      </c>
      <c r="AD216">
        <f t="shared" si="42"/>
        <v>0</v>
      </c>
      <c r="AE216" t="str">
        <f t="shared" si="43"/>
        <v xml:space="preserve"> </v>
      </c>
      <c r="AF216">
        <f t="shared" si="44"/>
        <v>0</v>
      </c>
    </row>
    <row r="217" spans="2:32" ht="15" thickBot="1" x14ac:dyDescent="0.4">
      <c r="B217" s="631"/>
      <c r="C217" s="520">
        <v>3</v>
      </c>
      <c r="D217" s="289">
        <v>18</v>
      </c>
      <c r="E217" s="387"/>
      <c r="F217" s="362"/>
      <c r="G217" s="388"/>
      <c r="H217" s="388"/>
      <c r="I217" s="388"/>
      <c r="J217" s="393"/>
      <c r="K217" s="388"/>
      <c r="L217" s="388"/>
      <c r="M217" s="388"/>
      <c r="N217" s="388"/>
      <c r="O217" s="503"/>
      <c r="P217" s="509">
        <f t="shared" si="34"/>
        <v>0</v>
      </c>
      <c r="Q217" s="445">
        <f t="shared" si="35"/>
        <v>0</v>
      </c>
      <c r="R217" s="445">
        <f t="shared" si="36"/>
        <v>0</v>
      </c>
      <c r="S217" s="445">
        <f t="shared" si="37"/>
        <v>0</v>
      </c>
      <c r="T217" s="445">
        <f t="shared" si="38"/>
        <v>0</v>
      </c>
      <c r="U217" s="445">
        <f t="shared" si="39"/>
        <v>0</v>
      </c>
      <c r="V217" s="445">
        <f t="shared" si="40"/>
        <v>0</v>
      </c>
      <c r="W217" s="446">
        <f t="shared" si="41"/>
        <v>0</v>
      </c>
      <c r="X217">
        <f>IF(ISNA(VLOOKUP((CONCATENATE("Standing Long Jump-",I217,"-",Input!J217)),points11,2,)),0,VLOOKUP((CONCATENATE("Standing Long Jump-",I217,"-",Input!J217)),points11,2,))</f>
        <v>0</v>
      </c>
      <c r="Y217">
        <f>IF(ISNA(VLOOKUP((CONCATENATE("Speed Bounce-",I217,"-",Input!K217)),points11,2,)),0,VLOOKUP((CONCATENATE("Speed Bounce-",I217,"-",Input!K217)),points11,2,))</f>
        <v>0</v>
      </c>
      <c r="Z217">
        <f>IF(ISNA(VLOOKUP((CONCATENATE("Target Throw-",I217,"-",Input!L217)),points11,2,)),0,VLOOKUP((CONCATENATE("Target Throw-",I217,"-",Input!L217)),points11,2,))</f>
        <v>0</v>
      </c>
      <c r="AA217">
        <f>IF(ISNA(VLOOKUP((CONCATENATE("Hi-Stepper-",I217,"-",Input!M217)),points11,2,)),0,VLOOKUP((CONCATENATE("Hi-Stepper-",I217,"-",Input!M217)),points11,2,))</f>
        <v>0</v>
      </c>
      <c r="AB217">
        <f>IF(ISNA(VLOOKUP((CONCATENATE("Chest Push-",I217,"-",Input!N217)),points11,2,)),0,VLOOKUP((CONCATENATE("Chest Push-",I217,"-",Input!N217)),points11,2,))</f>
        <v>0</v>
      </c>
      <c r="AC217">
        <f>IF(ISNA(VLOOKUP((CONCATENATE("Javelin Throw-",I217,"-",Input!O217)),points11,2,)),0,VLOOKUP((CONCATENATE("Javelin Throw-",I217,"-",Input!O217)),points11,2,))</f>
        <v>0</v>
      </c>
      <c r="AD217">
        <f t="shared" si="42"/>
        <v>0</v>
      </c>
      <c r="AE217" t="str">
        <f t="shared" si="43"/>
        <v xml:space="preserve"> </v>
      </c>
      <c r="AF217">
        <f t="shared" si="44"/>
        <v>0</v>
      </c>
    </row>
    <row r="218" spans="2:32" ht="15" thickBot="1" x14ac:dyDescent="0.4">
      <c r="B218" s="631"/>
      <c r="C218" s="520">
        <v>4</v>
      </c>
      <c r="D218" s="289">
        <v>18</v>
      </c>
      <c r="E218" s="387"/>
      <c r="F218" s="362"/>
      <c r="G218" s="388"/>
      <c r="H218" s="388"/>
      <c r="I218" s="388"/>
      <c r="J218" s="393"/>
      <c r="K218" s="388"/>
      <c r="L218" s="388"/>
      <c r="M218" s="388"/>
      <c r="N218" s="388"/>
      <c r="O218" s="503"/>
      <c r="P218" s="509">
        <f t="shared" si="34"/>
        <v>0</v>
      </c>
      <c r="Q218" s="445">
        <f t="shared" si="35"/>
        <v>0</v>
      </c>
      <c r="R218" s="445">
        <f t="shared" si="36"/>
        <v>0</v>
      </c>
      <c r="S218" s="445">
        <f t="shared" si="37"/>
        <v>0</v>
      </c>
      <c r="T218" s="445">
        <f t="shared" si="38"/>
        <v>0</v>
      </c>
      <c r="U218" s="445">
        <f t="shared" si="39"/>
        <v>0</v>
      </c>
      <c r="V218" s="445">
        <f t="shared" si="40"/>
        <v>0</v>
      </c>
      <c r="W218" s="446">
        <f t="shared" si="41"/>
        <v>0</v>
      </c>
      <c r="X218">
        <f>IF(ISNA(VLOOKUP((CONCATENATE("Standing Long Jump-",I218,"-",Input!J218)),points11,2,)),0,VLOOKUP((CONCATENATE("Standing Long Jump-",I218,"-",Input!J218)),points11,2,))</f>
        <v>0</v>
      </c>
      <c r="Y218">
        <f>IF(ISNA(VLOOKUP((CONCATENATE("Speed Bounce-",I218,"-",Input!K218)),points11,2,)),0,VLOOKUP((CONCATENATE("Speed Bounce-",I218,"-",Input!K218)),points11,2,))</f>
        <v>0</v>
      </c>
      <c r="Z218">
        <f>IF(ISNA(VLOOKUP((CONCATENATE("Target Throw-",I218,"-",Input!L218)),points11,2,)),0,VLOOKUP((CONCATENATE("Target Throw-",I218,"-",Input!L218)),points11,2,))</f>
        <v>0</v>
      </c>
      <c r="AA218">
        <f>IF(ISNA(VLOOKUP((CONCATENATE("Hi-Stepper-",I218,"-",Input!M218)),points11,2,)),0,VLOOKUP((CONCATENATE("Hi-Stepper-",I218,"-",Input!M218)),points11,2,))</f>
        <v>0</v>
      </c>
      <c r="AB218">
        <f>IF(ISNA(VLOOKUP((CONCATENATE("Chest Push-",I218,"-",Input!N218)),points11,2,)),0,VLOOKUP((CONCATENATE("Chest Push-",I218,"-",Input!N218)),points11,2,))</f>
        <v>0</v>
      </c>
      <c r="AC218">
        <f>IF(ISNA(VLOOKUP((CONCATENATE("Javelin Throw-",I218,"-",Input!O218)),points11,2,)),0,VLOOKUP((CONCATENATE("Javelin Throw-",I218,"-",Input!O218)),points11,2,))</f>
        <v>0</v>
      </c>
      <c r="AD218">
        <f t="shared" si="42"/>
        <v>0</v>
      </c>
      <c r="AE218" t="str">
        <f t="shared" si="43"/>
        <v xml:space="preserve"> </v>
      </c>
      <c r="AF218">
        <f t="shared" si="44"/>
        <v>0</v>
      </c>
    </row>
    <row r="219" spans="2:32" ht="15" thickBot="1" x14ac:dyDescent="0.4">
      <c r="B219" s="631"/>
      <c r="C219" s="520">
        <v>5</v>
      </c>
      <c r="D219" s="289">
        <v>18</v>
      </c>
      <c r="E219" s="387"/>
      <c r="F219" s="362"/>
      <c r="G219" s="388"/>
      <c r="H219" s="388"/>
      <c r="I219" s="388"/>
      <c r="J219" s="393"/>
      <c r="K219" s="388"/>
      <c r="L219" s="388"/>
      <c r="M219" s="388"/>
      <c r="N219" s="388"/>
      <c r="O219" s="503"/>
      <c r="P219" s="509">
        <f t="shared" si="34"/>
        <v>0</v>
      </c>
      <c r="Q219" s="445">
        <f t="shared" si="35"/>
        <v>0</v>
      </c>
      <c r="R219" s="445">
        <f t="shared" si="36"/>
        <v>0</v>
      </c>
      <c r="S219" s="445">
        <f t="shared" si="37"/>
        <v>0</v>
      </c>
      <c r="T219" s="445">
        <f t="shared" si="38"/>
        <v>0</v>
      </c>
      <c r="U219" s="445">
        <f t="shared" si="39"/>
        <v>0</v>
      </c>
      <c r="V219" s="445">
        <f t="shared" si="40"/>
        <v>0</v>
      </c>
      <c r="W219" s="446">
        <f t="shared" si="41"/>
        <v>0</v>
      </c>
      <c r="X219">
        <f>IF(ISNA(VLOOKUP((CONCATENATE("Standing Long Jump-",I219,"-",Input!J219)),points11,2,)),0,VLOOKUP((CONCATENATE("Standing Long Jump-",I219,"-",Input!J219)),points11,2,))</f>
        <v>0</v>
      </c>
      <c r="Y219">
        <f>IF(ISNA(VLOOKUP((CONCATENATE("Speed Bounce-",I219,"-",Input!K219)),points11,2,)),0,VLOOKUP((CONCATENATE("Speed Bounce-",I219,"-",Input!K219)),points11,2,))</f>
        <v>0</v>
      </c>
      <c r="Z219">
        <f>IF(ISNA(VLOOKUP((CONCATENATE("Target Throw-",I219,"-",Input!L219)),points11,2,)),0,VLOOKUP((CONCATENATE("Target Throw-",I219,"-",Input!L219)),points11,2,))</f>
        <v>0</v>
      </c>
      <c r="AA219">
        <f>IF(ISNA(VLOOKUP((CONCATENATE("Hi-Stepper-",I219,"-",Input!M219)),points11,2,)),0,VLOOKUP((CONCATENATE("Hi-Stepper-",I219,"-",Input!M219)),points11,2,))</f>
        <v>0</v>
      </c>
      <c r="AB219">
        <f>IF(ISNA(VLOOKUP((CONCATENATE("Chest Push-",I219,"-",Input!N219)),points11,2,)),0,VLOOKUP((CONCATENATE("Chest Push-",I219,"-",Input!N219)),points11,2,))</f>
        <v>0</v>
      </c>
      <c r="AC219">
        <f>IF(ISNA(VLOOKUP((CONCATENATE("Javelin Throw-",I219,"-",Input!O219)),points11,2,)),0,VLOOKUP((CONCATENATE("Javelin Throw-",I219,"-",Input!O219)),points11,2,))</f>
        <v>0</v>
      </c>
      <c r="AD219">
        <f t="shared" si="42"/>
        <v>0</v>
      </c>
      <c r="AE219" t="str">
        <f t="shared" si="43"/>
        <v xml:space="preserve"> </v>
      </c>
      <c r="AF219">
        <f t="shared" si="44"/>
        <v>0</v>
      </c>
    </row>
    <row r="220" spans="2:32" ht="15" thickBot="1" x14ac:dyDescent="0.4">
      <c r="B220" s="631"/>
      <c r="C220" s="520">
        <v>6</v>
      </c>
      <c r="D220" s="289">
        <v>18</v>
      </c>
      <c r="E220" s="387"/>
      <c r="F220" s="362"/>
      <c r="G220" s="388"/>
      <c r="H220" s="388"/>
      <c r="I220" s="388"/>
      <c r="J220" s="393"/>
      <c r="K220" s="388"/>
      <c r="L220" s="388"/>
      <c r="M220" s="388"/>
      <c r="N220" s="388"/>
      <c r="O220" s="503"/>
      <c r="P220" s="509">
        <f t="shared" si="34"/>
        <v>0</v>
      </c>
      <c r="Q220" s="445">
        <f t="shared" si="35"/>
        <v>0</v>
      </c>
      <c r="R220" s="445">
        <f t="shared" si="36"/>
        <v>0</v>
      </c>
      <c r="S220" s="445">
        <f t="shared" si="37"/>
        <v>0</v>
      </c>
      <c r="T220" s="445">
        <f t="shared" si="38"/>
        <v>0</v>
      </c>
      <c r="U220" s="445">
        <f t="shared" si="39"/>
        <v>0</v>
      </c>
      <c r="V220" s="445">
        <f t="shared" si="40"/>
        <v>0</v>
      </c>
      <c r="W220" s="446">
        <f t="shared" si="41"/>
        <v>0</v>
      </c>
      <c r="X220">
        <f>IF(ISNA(VLOOKUP((CONCATENATE("Standing Long Jump-",I220,"-",Input!J220)),points11,2,)),0,VLOOKUP((CONCATENATE("Standing Long Jump-",I220,"-",Input!J220)),points11,2,))</f>
        <v>0</v>
      </c>
      <c r="Y220">
        <f>IF(ISNA(VLOOKUP((CONCATENATE("Speed Bounce-",I220,"-",Input!K220)),points11,2,)),0,VLOOKUP((CONCATENATE("Speed Bounce-",I220,"-",Input!K220)),points11,2,))</f>
        <v>0</v>
      </c>
      <c r="Z220">
        <f>IF(ISNA(VLOOKUP((CONCATENATE("Target Throw-",I220,"-",Input!L220)),points11,2,)),0,VLOOKUP((CONCATENATE("Target Throw-",I220,"-",Input!L220)),points11,2,))</f>
        <v>0</v>
      </c>
      <c r="AA220">
        <f>IF(ISNA(VLOOKUP((CONCATENATE("Hi-Stepper-",I220,"-",Input!M220)),points11,2,)),0,VLOOKUP((CONCATENATE("Hi-Stepper-",I220,"-",Input!M220)),points11,2,))</f>
        <v>0</v>
      </c>
      <c r="AB220">
        <f>IF(ISNA(VLOOKUP((CONCATENATE("Chest Push-",I220,"-",Input!N220)),points11,2,)),0,VLOOKUP((CONCATENATE("Chest Push-",I220,"-",Input!N220)),points11,2,))</f>
        <v>0</v>
      </c>
      <c r="AC220">
        <f>IF(ISNA(VLOOKUP((CONCATENATE("Javelin Throw-",I220,"-",Input!O220)),points11,2,)),0,VLOOKUP((CONCATENATE("Javelin Throw-",I220,"-",Input!O220)),points11,2,))</f>
        <v>0</v>
      </c>
      <c r="AD220">
        <f t="shared" si="42"/>
        <v>0</v>
      </c>
      <c r="AE220" t="str">
        <f t="shared" si="43"/>
        <v xml:space="preserve"> </v>
      </c>
      <c r="AF220">
        <f t="shared" si="44"/>
        <v>0</v>
      </c>
    </row>
    <row r="221" spans="2:32" ht="15" thickBot="1" x14ac:dyDescent="0.4">
      <c r="B221" s="631"/>
      <c r="C221" s="520">
        <v>7</v>
      </c>
      <c r="D221" s="289">
        <v>18</v>
      </c>
      <c r="E221" s="387"/>
      <c r="F221" s="362"/>
      <c r="G221" s="388"/>
      <c r="H221" s="388"/>
      <c r="I221" s="388"/>
      <c r="J221" s="393"/>
      <c r="K221" s="388"/>
      <c r="L221" s="388"/>
      <c r="M221" s="388"/>
      <c r="N221" s="388"/>
      <c r="O221" s="503"/>
      <c r="P221" s="509">
        <f t="shared" si="34"/>
        <v>0</v>
      </c>
      <c r="Q221" s="445">
        <f t="shared" si="35"/>
        <v>0</v>
      </c>
      <c r="R221" s="445">
        <f t="shared" si="36"/>
        <v>0</v>
      </c>
      <c r="S221" s="445">
        <f t="shared" si="37"/>
        <v>0</v>
      </c>
      <c r="T221" s="445">
        <f t="shared" si="38"/>
        <v>0</v>
      </c>
      <c r="U221" s="445">
        <f t="shared" si="39"/>
        <v>0</v>
      </c>
      <c r="V221" s="445">
        <f t="shared" si="40"/>
        <v>0</v>
      </c>
      <c r="W221" s="446">
        <f t="shared" si="41"/>
        <v>0</v>
      </c>
      <c r="X221">
        <f>IF(ISNA(VLOOKUP((CONCATENATE("Standing Long Jump-",I221,"-",Input!J221)),points11,2,)),0,VLOOKUP((CONCATENATE("Standing Long Jump-",I221,"-",Input!J221)),points11,2,))</f>
        <v>0</v>
      </c>
      <c r="Y221">
        <f>IF(ISNA(VLOOKUP((CONCATENATE("Speed Bounce-",I221,"-",Input!K221)),points11,2,)),0,VLOOKUP((CONCATENATE("Speed Bounce-",I221,"-",Input!K221)),points11,2,))</f>
        <v>0</v>
      </c>
      <c r="Z221">
        <f>IF(ISNA(VLOOKUP((CONCATENATE("Target Throw-",I221,"-",Input!L221)),points11,2,)),0,VLOOKUP((CONCATENATE("Target Throw-",I221,"-",Input!L221)),points11,2,))</f>
        <v>0</v>
      </c>
      <c r="AA221">
        <f>IF(ISNA(VLOOKUP((CONCATENATE("Hi-Stepper-",I221,"-",Input!M221)),points11,2,)),0,VLOOKUP((CONCATENATE("Hi-Stepper-",I221,"-",Input!M221)),points11,2,))</f>
        <v>0</v>
      </c>
      <c r="AB221">
        <f>IF(ISNA(VLOOKUP((CONCATENATE("Chest Push-",I221,"-",Input!N221)),points11,2,)),0,VLOOKUP((CONCATENATE("Chest Push-",I221,"-",Input!N221)),points11,2,))</f>
        <v>0</v>
      </c>
      <c r="AC221">
        <f>IF(ISNA(VLOOKUP((CONCATENATE("Javelin Throw-",I221,"-",Input!O221)),points11,2,)),0,VLOOKUP((CONCATENATE("Javelin Throw-",I221,"-",Input!O221)),points11,2,))</f>
        <v>0</v>
      </c>
      <c r="AD221">
        <f t="shared" si="42"/>
        <v>0</v>
      </c>
      <c r="AE221" t="str">
        <f t="shared" si="43"/>
        <v xml:space="preserve"> </v>
      </c>
      <c r="AF221">
        <f t="shared" si="44"/>
        <v>0</v>
      </c>
    </row>
    <row r="222" spans="2:32" ht="15" thickBot="1" x14ac:dyDescent="0.4">
      <c r="B222" s="631"/>
      <c r="C222" s="520">
        <v>8</v>
      </c>
      <c r="D222" s="289">
        <v>18</v>
      </c>
      <c r="E222" s="387"/>
      <c r="F222" s="362"/>
      <c r="G222" s="388"/>
      <c r="H222" s="388"/>
      <c r="I222" s="388"/>
      <c r="J222" s="393"/>
      <c r="K222" s="388"/>
      <c r="L222" s="388"/>
      <c r="M222" s="388"/>
      <c r="N222" s="388"/>
      <c r="O222" s="503"/>
      <c r="P222" s="509">
        <f t="shared" si="34"/>
        <v>0</v>
      </c>
      <c r="Q222" s="445">
        <f t="shared" si="35"/>
        <v>0</v>
      </c>
      <c r="R222" s="445">
        <f t="shared" si="36"/>
        <v>0</v>
      </c>
      <c r="S222" s="445">
        <f t="shared" si="37"/>
        <v>0</v>
      </c>
      <c r="T222" s="445">
        <f t="shared" si="38"/>
        <v>0</v>
      </c>
      <c r="U222" s="445">
        <f t="shared" si="39"/>
        <v>0</v>
      </c>
      <c r="V222" s="445">
        <f t="shared" si="40"/>
        <v>0</v>
      </c>
      <c r="W222" s="446">
        <f t="shared" si="41"/>
        <v>0</v>
      </c>
      <c r="X222">
        <f>IF(ISNA(VLOOKUP((CONCATENATE("Standing Long Jump-",I222,"-",Input!J222)),points11,2,)),0,VLOOKUP((CONCATENATE("Standing Long Jump-",I222,"-",Input!J222)),points11,2,))</f>
        <v>0</v>
      </c>
      <c r="Y222">
        <f>IF(ISNA(VLOOKUP((CONCATENATE("Speed Bounce-",I222,"-",Input!K222)),points11,2,)),0,VLOOKUP((CONCATENATE("Speed Bounce-",I222,"-",Input!K222)),points11,2,))</f>
        <v>0</v>
      </c>
      <c r="Z222">
        <f>IF(ISNA(VLOOKUP((CONCATENATE("Target Throw-",I222,"-",Input!L222)),points11,2,)),0,VLOOKUP((CONCATENATE("Target Throw-",I222,"-",Input!L222)),points11,2,))</f>
        <v>0</v>
      </c>
      <c r="AA222">
        <f>IF(ISNA(VLOOKUP((CONCATENATE("Hi-Stepper-",I222,"-",Input!M222)),points11,2,)),0,VLOOKUP((CONCATENATE("Hi-Stepper-",I222,"-",Input!M222)),points11,2,))</f>
        <v>0</v>
      </c>
      <c r="AB222">
        <f>IF(ISNA(VLOOKUP((CONCATENATE("Chest Push-",I222,"-",Input!N222)),points11,2,)),0,VLOOKUP((CONCATENATE("Chest Push-",I222,"-",Input!N222)),points11,2,))</f>
        <v>0</v>
      </c>
      <c r="AC222">
        <f>IF(ISNA(VLOOKUP((CONCATENATE("Javelin Throw-",I222,"-",Input!O222)),points11,2,)),0,VLOOKUP((CONCATENATE("Javelin Throw-",I222,"-",Input!O222)),points11,2,))</f>
        <v>0</v>
      </c>
      <c r="AD222">
        <f t="shared" si="42"/>
        <v>0</v>
      </c>
      <c r="AE222" t="str">
        <f t="shared" si="43"/>
        <v xml:space="preserve"> </v>
      </c>
      <c r="AF222">
        <f t="shared" si="44"/>
        <v>0</v>
      </c>
    </row>
    <row r="223" spans="2:32" ht="15" thickBot="1" x14ac:dyDescent="0.4">
      <c r="B223" s="631"/>
      <c r="C223" s="520">
        <v>9</v>
      </c>
      <c r="D223" s="289">
        <v>18</v>
      </c>
      <c r="E223" s="387"/>
      <c r="F223" s="362"/>
      <c r="G223" s="388"/>
      <c r="H223" s="388"/>
      <c r="I223" s="388"/>
      <c r="J223" s="393"/>
      <c r="K223" s="388"/>
      <c r="L223" s="388"/>
      <c r="M223" s="388"/>
      <c r="N223" s="388"/>
      <c r="O223" s="503"/>
      <c r="P223" s="509">
        <f t="shared" si="34"/>
        <v>0</v>
      </c>
      <c r="Q223" s="445">
        <f t="shared" si="35"/>
        <v>0</v>
      </c>
      <c r="R223" s="445">
        <f t="shared" si="36"/>
        <v>0</v>
      </c>
      <c r="S223" s="445">
        <f t="shared" si="37"/>
        <v>0</v>
      </c>
      <c r="T223" s="445">
        <f t="shared" si="38"/>
        <v>0</v>
      </c>
      <c r="U223" s="445">
        <f t="shared" si="39"/>
        <v>0</v>
      </c>
      <c r="V223" s="445">
        <f t="shared" si="40"/>
        <v>0</v>
      </c>
      <c r="W223" s="446">
        <f t="shared" si="41"/>
        <v>0</v>
      </c>
      <c r="X223">
        <f>IF(ISNA(VLOOKUP((CONCATENATE("Standing Long Jump-",I223,"-",Input!J223)),points11,2,)),0,VLOOKUP((CONCATENATE("Standing Long Jump-",I223,"-",Input!J223)),points11,2,))</f>
        <v>0</v>
      </c>
      <c r="Y223">
        <f>IF(ISNA(VLOOKUP((CONCATENATE("Speed Bounce-",I223,"-",Input!K223)),points11,2,)),0,VLOOKUP((CONCATENATE("Speed Bounce-",I223,"-",Input!K223)),points11,2,))</f>
        <v>0</v>
      </c>
      <c r="Z223">
        <f>IF(ISNA(VLOOKUP((CONCATENATE("Target Throw-",I223,"-",Input!L223)),points11,2,)),0,VLOOKUP((CONCATENATE("Target Throw-",I223,"-",Input!L223)),points11,2,))</f>
        <v>0</v>
      </c>
      <c r="AA223">
        <f>IF(ISNA(VLOOKUP((CONCATENATE("Hi-Stepper-",I223,"-",Input!M223)),points11,2,)),0,VLOOKUP((CONCATENATE("Hi-Stepper-",I223,"-",Input!M223)),points11,2,))</f>
        <v>0</v>
      </c>
      <c r="AB223">
        <f>IF(ISNA(VLOOKUP((CONCATENATE("Chest Push-",I223,"-",Input!N223)),points11,2,)),0,VLOOKUP((CONCATENATE("Chest Push-",I223,"-",Input!N223)),points11,2,))</f>
        <v>0</v>
      </c>
      <c r="AC223">
        <f>IF(ISNA(VLOOKUP((CONCATENATE("Javelin Throw-",I223,"-",Input!O223)),points11,2,)),0,VLOOKUP((CONCATENATE("Javelin Throw-",I223,"-",Input!O223)),points11,2,))</f>
        <v>0</v>
      </c>
      <c r="AD223">
        <f t="shared" si="42"/>
        <v>0</v>
      </c>
      <c r="AE223" t="str">
        <f t="shared" si="43"/>
        <v xml:space="preserve"> </v>
      </c>
      <c r="AF223">
        <f t="shared" si="44"/>
        <v>0</v>
      </c>
    </row>
    <row r="224" spans="2:32" ht="15" thickBot="1" x14ac:dyDescent="0.4">
      <c r="B224" s="631"/>
      <c r="C224" s="520">
        <v>10</v>
      </c>
      <c r="D224" s="289">
        <v>18</v>
      </c>
      <c r="E224" s="387"/>
      <c r="F224" s="362"/>
      <c r="G224" s="388"/>
      <c r="H224" s="388"/>
      <c r="I224" s="388"/>
      <c r="J224" s="393"/>
      <c r="K224" s="388"/>
      <c r="L224" s="388"/>
      <c r="M224" s="388"/>
      <c r="N224" s="388"/>
      <c r="O224" s="503"/>
      <c r="P224" s="509">
        <f t="shared" si="34"/>
        <v>0</v>
      </c>
      <c r="Q224" s="445">
        <f t="shared" si="35"/>
        <v>0</v>
      </c>
      <c r="R224" s="445">
        <f t="shared" si="36"/>
        <v>0</v>
      </c>
      <c r="S224" s="445">
        <f t="shared" si="37"/>
        <v>0</v>
      </c>
      <c r="T224" s="445">
        <f t="shared" si="38"/>
        <v>0</v>
      </c>
      <c r="U224" s="445">
        <f t="shared" si="39"/>
        <v>0</v>
      </c>
      <c r="V224" s="445">
        <f t="shared" si="40"/>
        <v>0</v>
      </c>
      <c r="W224" s="446">
        <f t="shared" si="41"/>
        <v>0</v>
      </c>
      <c r="X224">
        <f>IF(ISNA(VLOOKUP((CONCATENATE("Standing Long Jump-",I224,"-",Input!J224)),points11,2,)),0,VLOOKUP((CONCATENATE("Standing Long Jump-",I224,"-",Input!J224)),points11,2,))</f>
        <v>0</v>
      </c>
      <c r="Y224">
        <f>IF(ISNA(VLOOKUP((CONCATENATE("Speed Bounce-",I224,"-",Input!K224)),points11,2,)),0,VLOOKUP((CONCATENATE("Speed Bounce-",I224,"-",Input!K224)),points11,2,))</f>
        <v>0</v>
      </c>
      <c r="Z224">
        <f>IF(ISNA(VLOOKUP((CONCATENATE("Target Throw-",I224,"-",Input!L224)),points11,2,)),0,VLOOKUP((CONCATENATE("Target Throw-",I224,"-",Input!L224)),points11,2,))</f>
        <v>0</v>
      </c>
      <c r="AA224">
        <f>IF(ISNA(VLOOKUP((CONCATENATE("Hi-Stepper-",I224,"-",Input!M224)),points11,2,)),0,VLOOKUP((CONCATENATE("Hi-Stepper-",I224,"-",Input!M224)),points11,2,))</f>
        <v>0</v>
      </c>
      <c r="AB224">
        <f>IF(ISNA(VLOOKUP((CONCATENATE("Chest Push-",I224,"-",Input!N224)),points11,2,)),0,VLOOKUP((CONCATENATE("Chest Push-",I224,"-",Input!N224)),points11,2,))</f>
        <v>0</v>
      </c>
      <c r="AC224">
        <f>IF(ISNA(VLOOKUP((CONCATENATE("Javelin Throw-",I224,"-",Input!O224)),points11,2,)),0,VLOOKUP((CONCATENATE("Javelin Throw-",I224,"-",Input!O224)),points11,2,))</f>
        <v>0</v>
      </c>
      <c r="AD224">
        <f t="shared" si="42"/>
        <v>0</v>
      </c>
      <c r="AE224" t="str">
        <f t="shared" si="43"/>
        <v xml:space="preserve"> </v>
      </c>
      <c r="AF224">
        <f t="shared" si="44"/>
        <v>0</v>
      </c>
    </row>
    <row r="225" spans="2:40" ht="15" thickBot="1" x14ac:dyDescent="0.4">
      <c r="B225" s="631"/>
      <c r="C225" s="520">
        <v>11</v>
      </c>
      <c r="D225" s="289">
        <v>18</v>
      </c>
      <c r="E225" s="387"/>
      <c r="F225" s="362"/>
      <c r="G225" s="388"/>
      <c r="H225" s="388"/>
      <c r="I225" s="388"/>
      <c r="J225" s="393"/>
      <c r="K225" s="388"/>
      <c r="L225" s="388"/>
      <c r="M225" s="388"/>
      <c r="N225" s="388"/>
      <c r="O225" s="503"/>
      <c r="P225" s="509">
        <f t="shared" si="34"/>
        <v>0</v>
      </c>
      <c r="Q225" s="445">
        <f t="shared" si="35"/>
        <v>0</v>
      </c>
      <c r="R225" s="445">
        <f t="shared" si="36"/>
        <v>0</v>
      </c>
      <c r="S225" s="445">
        <f t="shared" si="37"/>
        <v>0</v>
      </c>
      <c r="T225" s="445">
        <f t="shared" si="38"/>
        <v>0</v>
      </c>
      <c r="U225" s="445">
        <f t="shared" si="39"/>
        <v>0</v>
      </c>
      <c r="V225" s="445">
        <f t="shared" si="40"/>
        <v>0</v>
      </c>
      <c r="W225" s="446">
        <f t="shared" si="41"/>
        <v>0</v>
      </c>
      <c r="X225">
        <f>IF(ISNA(VLOOKUP((CONCATENATE("Standing Long Jump-",I225,"-",Input!J225)),points11,2,)),0,VLOOKUP((CONCATENATE("Standing Long Jump-",I225,"-",Input!J225)),points11,2,))</f>
        <v>0</v>
      </c>
      <c r="Y225">
        <f>IF(ISNA(VLOOKUP((CONCATENATE("Speed Bounce-",I225,"-",Input!K225)),points11,2,)),0,VLOOKUP((CONCATENATE("Speed Bounce-",I225,"-",Input!K225)),points11,2,))</f>
        <v>0</v>
      </c>
      <c r="Z225">
        <f>IF(ISNA(VLOOKUP((CONCATENATE("Target Throw-",I225,"-",Input!L225)),points11,2,)),0,VLOOKUP((CONCATENATE("Target Throw-",I225,"-",Input!L225)),points11,2,))</f>
        <v>0</v>
      </c>
      <c r="AA225">
        <f>IF(ISNA(VLOOKUP((CONCATENATE("Hi-Stepper-",I225,"-",Input!M225)),points11,2,)),0,VLOOKUP((CONCATENATE("Hi-Stepper-",I225,"-",Input!M225)),points11,2,))</f>
        <v>0</v>
      </c>
      <c r="AB225">
        <f>IF(ISNA(VLOOKUP((CONCATENATE("Chest Push-",I225,"-",Input!N225)),points11,2,)),0,VLOOKUP((CONCATENATE("Chest Push-",I225,"-",Input!N225)),points11,2,))</f>
        <v>0</v>
      </c>
      <c r="AC225">
        <f>IF(ISNA(VLOOKUP((CONCATENATE("Javelin Throw-",I225,"-",Input!O225)),points11,2,)),0,VLOOKUP((CONCATENATE("Javelin Throw-",I225,"-",Input!O225)),points11,2,))</f>
        <v>0</v>
      </c>
      <c r="AD225">
        <f t="shared" si="42"/>
        <v>0</v>
      </c>
      <c r="AE225" t="str">
        <f t="shared" si="43"/>
        <v xml:space="preserve"> </v>
      </c>
      <c r="AF225">
        <f t="shared" si="44"/>
        <v>0</v>
      </c>
    </row>
    <row r="226" spans="2:40" ht="15" thickBot="1" x14ac:dyDescent="0.4">
      <c r="B226" s="631"/>
      <c r="C226" s="520">
        <v>12</v>
      </c>
      <c r="D226" s="289">
        <v>18</v>
      </c>
      <c r="E226" s="428"/>
      <c r="F226" s="400"/>
      <c r="G226" s="429"/>
      <c r="H226" s="429"/>
      <c r="I226" s="429"/>
      <c r="J226" s="430"/>
      <c r="K226" s="429"/>
      <c r="L226" s="429"/>
      <c r="M226" s="429"/>
      <c r="N226" s="429"/>
      <c r="O226" s="504"/>
      <c r="P226" s="512">
        <f t="shared" si="34"/>
        <v>0</v>
      </c>
      <c r="Q226" s="451">
        <f t="shared" si="35"/>
        <v>0</v>
      </c>
      <c r="R226" s="451">
        <f t="shared" si="36"/>
        <v>0</v>
      </c>
      <c r="S226" s="451">
        <f t="shared" si="37"/>
        <v>0</v>
      </c>
      <c r="T226" s="451">
        <f t="shared" si="38"/>
        <v>0</v>
      </c>
      <c r="U226" s="451">
        <f t="shared" si="39"/>
        <v>0</v>
      </c>
      <c r="V226" s="451">
        <f t="shared" si="40"/>
        <v>0</v>
      </c>
      <c r="W226" s="452">
        <f t="shared" si="41"/>
        <v>0</v>
      </c>
      <c r="X226">
        <f>IF(ISNA(VLOOKUP((CONCATENATE("Standing Long Jump-",I226,"-",Input!J226)),points11,2,)),0,VLOOKUP((CONCATENATE("Standing Long Jump-",I226,"-",Input!J226)),points11,2,))</f>
        <v>0</v>
      </c>
      <c r="Y226">
        <f>IF(ISNA(VLOOKUP((CONCATENATE("Speed Bounce-",I226,"-",Input!K226)),points11,2,)),0,VLOOKUP((CONCATENATE("Speed Bounce-",I226,"-",Input!K226)),points11,2,))</f>
        <v>0</v>
      </c>
      <c r="Z226">
        <f>IF(ISNA(VLOOKUP((CONCATENATE("Target Throw-",I226,"-",Input!L226)),points11,2,)),0,VLOOKUP((CONCATENATE("Target Throw-",I226,"-",Input!L226)),points11,2,))</f>
        <v>0</v>
      </c>
      <c r="AA226">
        <f>IF(ISNA(VLOOKUP((CONCATENATE("Hi-Stepper-",I226,"-",Input!M226)),points11,2,)),0,VLOOKUP((CONCATENATE("Hi-Stepper-",I226,"-",Input!M226)),points11,2,))</f>
        <v>0</v>
      </c>
      <c r="AB226">
        <f>IF(ISNA(VLOOKUP((CONCATENATE("Chest Push-",I226,"-",Input!N226)),points11,2,)),0,VLOOKUP((CONCATENATE("Chest Push-",I226,"-",Input!N226)),points11,2,))</f>
        <v>0</v>
      </c>
      <c r="AC226">
        <f>IF(ISNA(VLOOKUP((CONCATENATE("Javelin Throw-",I226,"-",Input!O226)),points11,2,)),0,VLOOKUP((CONCATENATE("Javelin Throw-",I226,"-",Input!O226)),points11,2,))</f>
        <v>0</v>
      </c>
      <c r="AD226">
        <f t="shared" si="42"/>
        <v>0</v>
      </c>
      <c r="AE226" t="str">
        <f t="shared" si="43"/>
        <v xml:space="preserve"> </v>
      </c>
      <c r="AF226">
        <f t="shared" si="44"/>
        <v>0</v>
      </c>
    </row>
    <row r="227" spans="2:40" ht="15" thickBot="1" x14ac:dyDescent="0.4">
      <c r="B227" s="631" t="str">
        <f>'Competition Menu'!E19</f>
        <v>Team 19</v>
      </c>
      <c r="C227" s="520">
        <v>1</v>
      </c>
      <c r="D227" s="289">
        <v>19</v>
      </c>
      <c r="E227" s="479"/>
      <c r="F227" s="357"/>
      <c r="G227" s="480"/>
      <c r="H227" s="480"/>
      <c r="I227" s="480"/>
      <c r="J227" s="481"/>
      <c r="K227" s="480"/>
      <c r="L227" s="480"/>
      <c r="M227" s="480"/>
      <c r="N227" s="480"/>
      <c r="O227" s="505"/>
      <c r="P227" s="513">
        <f t="shared" si="34"/>
        <v>0</v>
      </c>
      <c r="Q227" s="453">
        <f t="shared" si="35"/>
        <v>0</v>
      </c>
      <c r="R227" s="453">
        <f t="shared" si="36"/>
        <v>0</v>
      </c>
      <c r="S227" s="453">
        <f t="shared" si="37"/>
        <v>0</v>
      </c>
      <c r="T227" s="453">
        <f t="shared" si="38"/>
        <v>0</v>
      </c>
      <c r="U227" s="453">
        <f t="shared" si="39"/>
        <v>0</v>
      </c>
      <c r="V227" s="453">
        <f t="shared" si="40"/>
        <v>0</v>
      </c>
      <c r="W227" s="454">
        <f t="shared" si="41"/>
        <v>0</v>
      </c>
      <c r="X227">
        <f>IF(ISNA(VLOOKUP((CONCATENATE("Standing Long Jump-",I227,"-",Input!J227)),points11,2,)),0,VLOOKUP((CONCATENATE("Standing Long Jump-",I227,"-",Input!J227)),points11,2,))</f>
        <v>0</v>
      </c>
      <c r="Y227">
        <f>IF(ISNA(VLOOKUP((CONCATENATE("Speed Bounce-",I227,"-",Input!K227)),points11,2,)),0,VLOOKUP((CONCATENATE("Speed Bounce-",I227,"-",Input!K227)),points11,2,))</f>
        <v>0</v>
      </c>
      <c r="Z227">
        <f>IF(ISNA(VLOOKUP((CONCATENATE("Target Throw-",I227,"-",Input!L227)),points11,2,)),0,VLOOKUP((CONCATENATE("Target Throw-",I227,"-",Input!L227)),points11,2,))</f>
        <v>0</v>
      </c>
      <c r="AA227">
        <f>IF(ISNA(VLOOKUP((CONCATENATE("Hi-Stepper-",I227,"-",Input!M227)),points11,2,)),0,VLOOKUP((CONCATENATE("Hi-Stepper-",I227,"-",Input!M227)),points11,2,))</f>
        <v>0</v>
      </c>
      <c r="AB227">
        <f>IF(ISNA(VLOOKUP((CONCATENATE("Chest Push-",I227,"-",Input!N227)),points11,2,)),0,VLOOKUP((CONCATENATE("Chest Push-",I227,"-",Input!N227)),points11,2,))</f>
        <v>0</v>
      </c>
      <c r="AC227">
        <f>IF(ISNA(VLOOKUP((CONCATENATE("Javelin Throw-",I227,"-",Input!O227)),points11,2,)),0,VLOOKUP((CONCATENATE("Javelin Throw-",I227,"-",Input!O227)),points11,2,))</f>
        <v>0</v>
      </c>
      <c r="AD227">
        <f t="shared" si="42"/>
        <v>0</v>
      </c>
      <c r="AE227" t="str">
        <f t="shared" si="43"/>
        <v xml:space="preserve"> </v>
      </c>
      <c r="AF227">
        <f t="shared" si="44"/>
        <v>0</v>
      </c>
    </row>
    <row r="228" spans="2:40" ht="15" thickBot="1" x14ac:dyDescent="0.4">
      <c r="B228" s="631"/>
      <c r="C228" s="520">
        <v>2</v>
      </c>
      <c r="D228" s="289">
        <v>19</v>
      </c>
      <c r="E228" s="387"/>
      <c r="F228" s="362"/>
      <c r="G228" s="388"/>
      <c r="H228" s="388"/>
      <c r="I228" s="388"/>
      <c r="J228" s="393"/>
      <c r="K228" s="388"/>
      <c r="L228" s="388"/>
      <c r="M228" s="388"/>
      <c r="N228" s="388"/>
      <c r="O228" s="503"/>
      <c r="P228" s="509">
        <f t="shared" si="34"/>
        <v>0</v>
      </c>
      <c r="Q228" s="445">
        <f t="shared" si="35"/>
        <v>0</v>
      </c>
      <c r="R228" s="445">
        <f t="shared" si="36"/>
        <v>0</v>
      </c>
      <c r="S228" s="445">
        <f t="shared" si="37"/>
        <v>0</v>
      </c>
      <c r="T228" s="445">
        <f t="shared" si="38"/>
        <v>0</v>
      </c>
      <c r="U228" s="445">
        <f t="shared" si="39"/>
        <v>0</v>
      </c>
      <c r="V228" s="445">
        <f t="shared" si="40"/>
        <v>0</v>
      </c>
      <c r="W228" s="446">
        <f t="shared" si="41"/>
        <v>0</v>
      </c>
      <c r="X228">
        <f>IF(ISNA(VLOOKUP((CONCATENATE("Standing Long Jump-",I228,"-",Input!J228)),points11,2,)),0,VLOOKUP((CONCATENATE("Standing Long Jump-",I228,"-",Input!J228)),points11,2,))</f>
        <v>0</v>
      </c>
      <c r="Y228">
        <f>IF(ISNA(VLOOKUP((CONCATENATE("Speed Bounce-",I228,"-",Input!K228)),points11,2,)),0,VLOOKUP((CONCATENATE("Speed Bounce-",I228,"-",Input!K228)),points11,2,))</f>
        <v>0</v>
      </c>
      <c r="Z228">
        <f>IF(ISNA(VLOOKUP((CONCATENATE("Target Throw-",I228,"-",Input!L228)),points11,2,)),0,VLOOKUP((CONCATENATE("Target Throw-",I228,"-",Input!L228)),points11,2,))</f>
        <v>0</v>
      </c>
      <c r="AA228">
        <f>IF(ISNA(VLOOKUP((CONCATENATE("Hi-Stepper-",I228,"-",Input!M228)),points11,2,)),0,VLOOKUP((CONCATENATE("Hi-Stepper-",I228,"-",Input!M228)),points11,2,))</f>
        <v>0</v>
      </c>
      <c r="AB228">
        <f>IF(ISNA(VLOOKUP((CONCATENATE("Chest Push-",I228,"-",Input!N228)),points11,2,)),0,VLOOKUP((CONCATENATE("Chest Push-",I228,"-",Input!N228)),points11,2,))</f>
        <v>0</v>
      </c>
      <c r="AC228">
        <f>IF(ISNA(VLOOKUP((CONCATENATE("Javelin Throw-",I228,"-",Input!O228)),points11,2,)),0,VLOOKUP((CONCATENATE("Javelin Throw-",I228,"-",Input!O228)),points11,2,))</f>
        <v>0</v>
      </c>
      <c r="AD228">
        <f t="shared" si="42"/>
        <v>0</v>
      </c>
      <c r="AE228" t="str">
        <f t="shared" si="43"/>
        <v xml:space="preserve"> </v>
      </c>
      <c r="AF228">
        <f t="shared" si="44"/>
        <v>0</v>
      </c>
    </row>
    <row r="229" spans="2:40" ht="15" thickBot="1" x14ac:dyDescent="0.4">
      <c r="B229" s="631"/>
      <c r="C229" s="520">
        <v>3</v>
      </c>
      <c r="D229" s="289">
        <v>19</v>
      </c>
      <c r="E229" s="387"/>
      <c r="F229" s="362"/>
      <c r="G229" s="388"/>
      <c r="H229" s="388"/>
      <c r="I229" s="388"/>
      <c r="J229" s="393"/>
      <c r="K229" s="388"/>
      <c r="L229" s="388"/>
      <c r="M229" s="388"/>
      <c r="N229" s="388"/>
      <c r="O229" s="503"/>
      <c r="P229" s="509">
        <f t="shared" si="34"/>
        <v>0</v>
      </c>
      <c r="Q229" s="445">
        <f t="shared" si="35"/>
        <v>0</v>
      </c>
      <c r="R229" s="445">
        <f t="shared" si="36"/>
        <v>0</v>
      </c>
      <c r="S229" s="445">
        <f t="shared" si="37"/>
        <v>0</v>
      </c>
      <c r="T229" s="445">
        <f t="shared" si="38"/>
        <v>0</v>
      </c>
      <c r="U229" s="445">
        <f t="shared" si="39"/>
        <v>0</v>
      </c>
      <c r="V229" s="445">
        <f t="shared" si="40"/>
        <v>0</v>
      </c>
      <c r="W229" s="446">
        <f t="shared" si="41"/>
        <v>0</v>
      </c>
      <c r="X229">
        <f>IF(ISNA(VLOOKUP((CONCATENATE("Standing Long Jump-",I229,"-",Input!J229)),points11,2,)),0,VLOOKUP((CONCATENATE("Standing Long Jump-",I229,"-",Input!J229)),points11,2,))</f>
        <v>0</v>
      </c>
      <c r="Y229">
        <f>IF(ISNA(VLOOKUP((CONCATENATE("Speed Bounce-",I229,"-",Input!K229)),points11,2,)),0,VLOOKUP((CONCATENATE("Speed Bounce-",I229,"-",Input!K229)),points11,2,))</f>
        <v>0</v>
      </c>
      <c r="Z229">
        <f>IF(ISNA(VLOOKUP((CONCATENATE("Target Throw-",I229,"-",Input!L229)),points11,2,)),0,VLOOKUP((CONCATENATE("Target Throw-",I229,"-",Input!L229)),points11,2,))</f>
        <v>0</v>
      </c>
      <c r="AA229">
        <f>IF(ISNA(VLOOKUP((CONCATENATE("Hi-Stepper-",I229,"-",Input!M229)),points11,2,)),0,VLOOKUP((CONCATENATE("Hi-Stepper-",I229,"-",Input!M229)),points11,2,))</f>
        <v>0</v>
      </c>
      <c r="AB229">
        <f>IF(ISNA(VLOOKUP((CONCATENATE("Chest Push-",I229,"-",Input!N229)),points11,2,)),0,VLOOKUP((CONCATENATE("Chest Push-",I229,"-",Input!N229)),points11,2,))</f>
        <v>0</v>
      </c>
      <c r="AC229">
        <f>IF(ISNA(VLOOKUP((CONCATENATE("Javelin Throw-",I229,"-",Input!O229)),points11,2,)),0,VLOOKUP((CONCATENATE("Javelin Throw-",I229,"-",Input!O229)),points11,2,))</f>
        <v>0</v>
      </c>
      <c r="AD229">
        <f t="shared" si="42"/>
        <v>0</v>
      </c>
      <c r="AE229" t="str">
        <f t="shared" si="43"/>
        <v xml:space="preserve"> </v>
      </c>
      <c r="AF229">
        <f t="shared" si="44"/>
        <v>0</v>
      </c>
    </row>
    <row r="230" spans="2:40" ht="15" thickBot="1" x14ac:dyDescent="0.4">
      <c r="B230" s="631"/>
      <c r="C230" s="520">
        <v>4</v>
      </c>
      <c r="D230" s="289">
        <v>19</v>
      </c>
      <c r="E230" s="387"/>
      <c r="F230" s="362"/>
      <c r="G230" s="388"/>
      <c r="H230" s="388"/>
      <c r="I230" s="388"/>
      <c r="J230" s="393"/>
      <c r="K230" s="388"/>
      <c r="L230" s="388"/>
      <c r="M230" s="388"/>
      <c r="N230" s="388"/>
      <c r="O230" s="503"/>
      <c r="P230" s="509">
        <f t="shared" si="34"/>
        <v>0</v>
      </c>
      <c r="Q230" s="445">
        <f t="shared" si="35"/>
        <v>0</v>
      </c>
      <c r="R230" s="445">
        <f t="shared" si="36"/>
        <v>0</v>
      </c>
      <c r="S230" s="445">
        <f t="shared" si="37"/>
        <v>0</v>
      </c>
      <c r="T230" s="445">
        <f t="shared" si="38"/>
        <v>0</v>
      </c>
      <c r="U230" s="445">
        <f t="shared" si="39"/>
        <v>0</v>
      </c>
      <c r="V230" s="445">
        <f t="shared" si="40"/>
        <v>0</v>
      </c>
      <c r="W230" s="446">
        <f t="shared" si="41"/>
        <v>0</v>
      </c>
      <c r="X230">
        <f>IF(ISNA(VLOOKUP((CONCATENATE("Standing Long Jump-",I230,"-",Input!J230)),points11,2,)),0,VLOOKUP((CONCATENATE("Standing Long Jump-",I230,"-",Input!J230)),points11,2,))</f>
        <v>0</v>
      </c>
      <c r="Y230">
        <f>IF(ISNA(VLOOKUP((CONCATENATE("Speed Bounce-",I230,"-",Input!K230)),points11,2,)),0,VLOOKUP((CONCATENATE("Speed Bounce-",I230,"-",Input!K230)),points11,2,))</f>
        <v>0</v>
      </c>
      <c r="Z230">
        <f>IF(ISNA(VLOOKUP((CONCATENATE("Target Throw-",I230,"-",Input!L230)),points11,2,)),0,VLOOKUP((CONCATENATE("Target Throw-",I230,"-",Input!L230)),points11,2,))</f>
        <v>0</v>
      </c>
      <c r="AA230">
        <f>IF(ISNA(VLOOKUP((CONCATENATE("Hi-Stepper-",I230,"-",Input!M230)),points11,2,)),0,VLOOKUP((CONCATENATE("Hi-Stepper-",I230,"-",Input!M230)),points11,2,))</f>
        <v>0</v>
      </c>
      <c r="AB230">
        <f>IF(ISNA(VLOOKUP((CONCATENATE("Chest Push-",I230,"-",Input!N230)),points11,2,)),0,VLOOKUP((CONCATENATE("Chest Push-",I230,"-",Input!N230)),points11,2,))</f>
        <v>0</v>
      </c>
      <c r="AC230">
        <f>IF(ISNA(VLOOKUP((CONCATENATE("Javelin Throw-",I230,"-",Input!O230)),points11,2,)),0,VLOOKUP((CONCATENATE("Javelin Throw-",I230,"-",Input!O230)),points11,2,))</f>
        <v>0</v>
      </c>
      <c r="AD230">
        <f t="shared" si="42"/>
        <v>0</v>
      </c>
      <c r="AE230" t="str">
        <f t="shared" si="43"/>
        <v xml:space="preserve"> </v>
      </c>
      <c r="AF230">
        <f t="shared" si="44"/>
        <v>0</v>
      </c>
    </row>
    <row r="231" spans="2:40" ht="15" thickBot="1" x14ac:dyDescent="0.4">
      <c r="B231" s="631"/>
      <c r="C231" s="520">
        <v>5</v>
      </c>
      <c r="D231" s="289">
        <v>19</v>
      </c>
      <c r="E231" s="387"/>
      <c r="F231" s="362"/>
      <c r="G231" s="388"/>
      <c r="H231" s="388"/>
      <c r="I231" s="388"/>
      <c r="J231" s="393"/>
      <c r="K231" s="388"/>
      <c r="L231" s="388"/>
      <c r="M231" s="388"/>
      <c r="N231" s="388"/>
      <c r="O231" s="503"/>
      <c r="P231" s="509">
        <f t="shared" si="34"/>
        <v>0</v>
      </c>
      <c r="Q231" s="445">
        <f t="shared" si="35"/>
        <v>0</v>
      </c>
      <c r="R231" s="445">
        <f t="shared" si="36"/>
        <v>0</v>
      </c>
      <c r="S231" s="445">
        <f t="shared" si="37"/>
        <v>0</v>
      </c>
      <c r="T231" s="445">
        <f t="shared" si="38"/>
        <v>0</v>
      </c>
      <c r="U231" s="445">
        <f t="shared" si="39"/>
        <v>0</v>
      </c>
      <c r="V231" s="445">
        <f t="shared" si="40"/>
        <v>0</v>
      </c>
      <c r="W231" s="446">
        <f t="shared" si="41"/>
        <v>0</v>
      </c>
      <c r="X231">
        <f>IF(ISNA(VLOOKUP((CONCATENATE("Standing Long Jump-",I231,"-",Input!J231)),points11,2,)),0,VLOOKUP((CONCATENATE("Standing Long Jump-",I231,"-",Input!J231)),points11,2,))</f>
        <v>0</v>
      </c>
      <c r="Y231">
        <f>IF(ISNA(VLOOKUP((CONCATENATE("Speed Bounce-",I231,"-",Input!K231)),points11,2,)),0,VLOOKUP((CONCATENATE("Speed Bounce-",I231,"-",Input!K231)),points11,2,))</f>
        <v>0</v>
      </c>
      <c r="Z231">
        <f>IF(ISNA(VLOOKUP((CONCATENATE("Target Throw-",I231,"-",Input!L231)),points11,2,)),0,VLOOKUP((CONCATENATE("Target Throw-",I231,"-",Input!L231)),points11,2,))</f>
        <v>0</v>
      </c>
      <c r="AA231">
        <f>IF(ISNA(VLOOKUP((CONCATENATE("Hi-Stepper-",I231,"-",Input!M231)),points11,2,)),0,VLOOKUP((CONCATENATE("Hi-Stepper-",I231,"-",Input!M231)),points11,2,))</f>
        <v>0</v>
      </c>
      <c r="AB231">
        <f>IF(ISNA(VLOOKUP((CONCATENATE("Chest Push-",I231,"-",Input!N231)),points11,2,)),0,VLOOKUP((CONCATENATE("Chest Push-",I231,"-",Input!N231)),points11,2,))</f>
        <v>0</v>
      </c>
      <c r="AC231">
        <f>IF(ISNA(VLOOKUP((CONCATENATE("Javelin Throw-",I231,"-",Input!O231)),points11,2,)),0,VLOOKUP((CONCATENATE("Javelin Throw-",I231,"-",Input!O231)),points11,2,))</f>
        <v>0</v>
      </c>
      <c r="AD231">
        <f t="shared" si="42"/>
        <v>0</v>
      </c>
      <c r="AE231" t="str">
        <f t="shared" si="43"/>
        <v xml:space="preserve"> </v>
      </c>
      <c r="AF231">
        <f t="shared" si="44"/>
        <v>0</v>
      </c>
    </row>
    <row r="232" spans="2:40" ht="15" thickBot="1" x14ac:dyDescent="0.4">
      <c r="B232" s="631"/>
      <c r="C232" s="520">
        <v>6</v>
      </c>
      <c r="D232" s="289">
        <v>19</v>
      </c>
      <c r="E232" s="387"/>
      <c r="F232" s="362"/>
      <c r="G232" s="388"/>
      <c r="H232" s="388"/>
      <c r="I232" s="388"/>
      <c r="J232" s="393"/>
      <c r="K232" s="388"/>
      <c r="L232" s="388"/>
      <c r="M232" s="388"/>
      <c r="N232" s="388"/>
      <c r="O232" s="503"/>
      <c r="P232" s="509">
        <f t="shared" si="34"/>
        <v>0</v>
      </c>
      <c r="Q232" s="445">
        <f t="shared" si="35"/>
        <v>0</v>
      </c>
      <c r="R232" s="445">
        <f t="shared" si="36"/>
        <v>0</v>
      </c>
      <c r="S232" s="445">
        <f t="shared" si="37"/>
        <v>0</v>
      </c>
      <c r="T232" s="445">
        <f t="shared" si="38"/>
        <v>0</v>
      </c>
      <c r="U232" s="445">
        <f t="shared" si="39"/>
        <v>0</v>
      </c>
      <c r="V232" s="445">
        <f t="shared" si="40"/>
        <v>0</v>
      </c>
      <c r="W232" s="446">
        <f t="shared" si="41"/>
        <v>0</v>
      </c>
      <c r="X232">
        <f>IF(ISNA(VLOOKUP((CONCATENATE("Standing Long Jump-",I232,"-",Input!J232)),points11,2,)),0,VLOOKUP((CONCATENATE("Standing Long Jump-",I232,"-",Input!J232)),points11,2,))</f>
        <v>0</v>
      </c>
      <c r="Y232">
        <f>IF(ISNA(VLOOKUP((CONCATENATE("Speed Bounce-",I232,"-",Input!K232)),points11,2,)),0,VLOOKUP((CONCATENATE("Speed Bounce-",I232,"-",Input!K232)),points11,2,))</f>
        <v>0</v>
      </c>
      <c r="Z232">
        <f>IF(ISNA(VLOOKUP((CONCATENATE("Target Throw-",I232,"-",Input!L232)),points11,2,)),0,VLOOKUP((CONCATENATE("Target Throw-",I232,"-",Input!L232)),points11,2,))</f>
        <v>0</v>
      </c>
      <c r="AA232">
        <f>IF(ISNA(VLOOKUP((CONCATENATE("Hi-Stepper-",I232,"-",Input!M232)),points11,2,)),0,VLOOKUP((CONCATENATE("Hi-Stepper-",I232,"-",Input!M232)),points11,2,))</f>
        <v>0</v>
      </c>
      <c r="AB232">
        <f>IF(ISNA(VLOOKUP((CONCATENATE("Chest Push-",I232,"-",Input!N232)),points11,2,)),0,VLOOKUP((CONCATENATE("Chest Push-",I232,"-",Input!N232)),points11,2,))</f>
        <v>0</v>
      </c>
      <c r="AC232">
        <f>IF(ISNA(VLOOKUP((CONCATENATE("Javelin Throw-",I232,"-",Input!O232)),points11,2,)),0,VLOOKUP((CONCATENATE("Javelin Throw-",I232,"-",Input!O232)),points11,2,))</f>
        <v>0</v>
      </c>
      <c r="AD232">
        <f t="shared" si="42"/>
        <v>0</v>
      </c>
      <c r="AE232" t="str">
        <f t="shared" si="43"/>
        <v xml:space="preserve"> </v>
      </c>
      <c r="AF232">
        <f t="shared" si="44"/>
        <v>0</v>
      </c>
    </row>
    <row r="233" spans="2:40" ht="15" thickBot="1" x14ac:dyDescent="0.4">
      <c r="B233" s="631"/>
      <c r="C233" s="520">
        <v>7</v>
      </c>
      <c r="D233" s="289">
        <v>19</v>
      </c>
      <c r="E233" s="387"/>
      <c r="F233" s="362"/>
      <c r="G233" s="388"/>
      <c r="H233" s="388"/>
      <c r="I233" s="388"/>
      <c r="J233" s="393"/>
      <c r="K233" s="388"/>
      <c r="L233" s="388"/>
      <c r="M233" s="388"/>
      <c r="N233" s="388"/>
      <c r="O233" s="503"/>
      <c r="P233" s="509">
        <f t="shared" si="34"/>
        <v>0</v>
      </c>
      <c r="Q233" s="445">
        <f t="shared" si="35"/>
        <v>0</v>
      </c>
      <c r="R233" s="445">
        <f t="shared" si="36"/>
        <v>0</v>
      </c>
      <c r="S233" s="445">
        <f t="shared" si="37"/>
        <v>0</v>
      </c>
      <c r="T233" s="445">
        <f t="shared" si="38"/>
        <v>0</v>
      </c>
      <c r="U233" s="445">
        <f t="shared" si="39"/>
        <v>0</v>
      </c>
      <c r="V233" s="445">
        <f t="shared" si="40"/>
        <v>0</v>
      </c>
      <c r="W233" s="446">
        <f t="shared" si="41"/>
        <v>0</v>
      </c>
      <c r="X233">
        <f>IF(ISNA(VLOOKUP((CONCATENATE("Standing Long Jump-",I233,"-",Input!J233)),points11,2,)),0,VLOOKUP((CONCATENATE("Standing Long Jump-",I233,"-",Input!J233)),points11,2,))</f>
        <v>0</v>
      </c>
      <c r="Y233">
        <f>IF(ISNA(VLOOKUP((CONCATENATE("Speed Bounce-",I233,"-",Input!K233)),points11,2,)),0,VLOOKUP((CONCATENATE("Speed Bounce-",I233,"-",Input!K233)),points11,2,))</f>
        <v>0</v>
      </c>
      <c r="Z233">
        <f>IF(ISNA(VLOOKUP((CONCATENATE("Target Throw-",I233,"-",Input!L233)),points11,2,)),0,VLOOKUP((CONCATENATE("Target Throw-",I233,"-",Input!L233)),points11,2,))</f>
        <v>0</v>
      </c>
      <c r="AA233">
        <f>IF(ISNA(VLOOKUP((CONCATENATE("Hi-Stepper-",I233,"-",Input!M233)),points11,2,)),0,VLOOKUP((CONCATENATE("Hi-Stepper-",I233,"-",Input!M233)),points11,2,))</f>
        <v>0</v>
      </c>
      <c r="AB233">
        <f>IF(ISNA(VLOOKUP((CONCATENATE("Chest Push-",I233,"-",Input!N233)),points11,2,)),0,VLOOKUP((CONCATENATE("Chest Push-",I233,"-",Input!N233)),points11,2,))</f>
        <v>0</v>
      </c>
      <c r="AC233">
        <f>IF(ISNA(VLOOKUP((CONCATENATE("Javelin Throw-",I233,"-",Input!O233)),points11,2,)),0,VLOOKUP((CONCATENATE("Javelin Throw-",I233,"-",Input!O233)),points11,2,))</f>
        <v>0</v>
      </c>
      <c r="AD233">
        <f t="shared" si="42"/>
        <v>0</v>
      </c>
      <c r="AE233" t="str">
        <f t="shared" si="43"/>
        <v xml:space="preserve"> </v>
      </c>
      <c r="AF233">
        <f t="shared" si="44"/>
        <v>0</v>
      </c>
    </row>
    <row r="234" spans="2:40" ht="15" thickBot="1" x14ac:dyDescent="0.4">
      <c r="B234" s="631"/>
      <c r="C234" s="520">
        <v>8</v>
      </c>
      <c r="D234" s="289">
        <v>19</v>
      </c>
      <c r="E234" s="387"/>
      <c r="F234" s="362"/>
      <c r="G234" s="388"/>
      <c r="H234" s="388"/>
      <c r="I234" s="388"/>
      <c r="J234" s="393"/>
      <c r="K234" s="388"/>
      <c r="L234" s="388"/>
      <c r="M234" s="388"/>
      <c r="N234" s="388"/>
      <c r="O234" s="503"/>
      <c r="P234" s="509">
        <f t="shared" si="34"/>
        <v>0</v>
      </c>
      <c r="Q234" s="445">
        <f t="shared" si="35"/>
        <v>0</v>
      </c>
      <c r="R234" s="445">
        <f t="shared" si="36"/>
        <v>0</v>
      </c>
      <c r="S234" s="445">
        <f t="shared" si="37"/>
        <v>0</v>
      </c>
      <c r="T234" s="445">
        <f t="shared" si="38"/>
        <v>0</v>
      </c>
      <c r="U234" s="445">
        <f t="shared" si="39"/>
        <v>0</v>
      </c>
      <c r="V234" s="445">
        <f t="shared" si="40"/>
        <v>0</v>
      </c>
      <c r="W234" s="446">
        <f t="shared" si="41"/>
        <v>0</v>
      </c>
      <c r="X234">
        <f>IF(ISNA(VLOOKUP((CONCATENATE("Standing Long Jump-",I234,"-",Input!J234)),points11,2,)),0,VLOOKUP((CONCATENATE("Standing Long Jump-",I234,"-",Input!J234)),points11,2,))</f>
        <v>0</v>
      </c>
      <c r="Y234">
        <f>IF(ISNA(VLOOKUP((CONCATENATE("Speed Bounce-",I234,"-",Input!K234)),points11,2,)),0,VLOOKUP((CONCATENATE("Speed Bounce-",I234,"-",Input!K234)),points11,2,))</f>
        <v>0</v>
      </c>
      <c r="Z234">
        <f>IF(ISNA(VLOOKUP((CONCATENATE("Target Throw-",I234,"-",Input!L234)),points11,2,)),0,VLOOKUP((CONCATENATE("Target Throw-",I234,"-",Input!L234)),points11,2,))</f>
        <v>0</v>
      </c>
      <c r="AA234">
        <f>IF(ISNA(VLOOKUP((CONCATENATE("Hi-Stepper-",I234,"-",Input!M234)),points11,2,)),0,VLOOKUP((CONCATENATE("Hi-Stepper-",I234,"-",Input!M234)),points11,2,))</f>
        <v>0</v>
      </c>
      <c r="AB234">
        <f>IF(ISNA(VLOOKUP((CONCATENATE("Chest Push-",I234,"-",Input!N234)),points11,2,)),0,VLOOKUP((CONCATENATE("Chest Push-",I234,"-",Input!N234)),points11,2,))</f>
        <v>0</v>
      </c>
      <c r="AC234">
        <f>IF(ISNA(VLOOKUP((CONCATENATE("Javelin Throw-",I234,"-",Input!O234)),points11,2,)),0,VLOOKUP((CONCATENATE("Javelin Throw-",I234,"-",Input!O234)),points11,2,))</f>
        <v>0</v>
      </c>
      <c r="AD234">
        <f t="shared" si="42"/>
        <v>0</v>
      </c>
      <c r="AE234" t="str">
        <f t="shared" si="43"/>
        <v xml:space="preserve"> </v>
      </c>
      <c r="AF234">
        <f t="shared" si="44"/>
        <v>0</v>
      </c>
    </row>
    <row r="235" spans="2:40" ht="15" thickBot="1" x14ac:dyDescent="0.4">
      <c r="B235" s="631"/>
      <c r="C235" s="520">
        <v>9</v>
      </c>
      <c r="D235" s="289">
        <v>19</v>
      </c>
      <c r="E235" s="387"/>
      <c r="F235" s="362"/>
      <c r="G235" s="388"/>
      <c r="H235" s="388"/>
      <c r="I235" s="388"/>
      <c r="J235" s="393"/>
      <c r="K235" s="388"/>
      <c r="L235" s="388"/>
      <c r="M235" s="388"/>
      <c r="N235" s="388"/>
      <c r="O235" s="503"/>
      <c r="P235" s="509">
        <f t="shared" si="34"/>
        <v>0</v>
      </c>
      <c r="Q235" s="445">
        <f t="shared" si="35"/>
        <v>0</v>
      </c>
      <c r="R235" s="445">
        <f t="shared" si="36"/>
        <v>0</v>
      </c>
      <c r="S235" s="445">
        <f t="shared" si="37"/>
        <v>0</v>
      </c>
      <c r="T235" s="445">
        <f t="shared" si="38"/>
        <v>0</v>
      </c>
      <c r="U235" s="445">
        <f t="shared" si="39"/>
        <v>0</v>
      </c>
      <c r="V235" s="445">
        <f t="shared" si="40"/>
        <v>0</v>
      </c>
      <c r="W235" s="446">
        <f t="shared" si="41"/>
        <v>0</v>
      </c>
      <c r="X235">
        <f>IF(ISNA(VLOOKUP((CONCATENATE("Standing Long Jump-",I235,"-",Input!J235)),points11,2,)),0,VLOOKUP((CONCATENATE("Standing Long Jump-",I235,"-",Input!J235)),points11,2,))</f>
        <v>0</v>
      </c>
      <c r="Y235">
        <f>IF(ISNA(VLOOKUP((CONCATENATE("Speed Bounce-",I235,"-",Input!K235)),points11,2,)),0,VLOOKUP((CONCATENATE("Speed Bounce-",I235,"-",Input!K235)),points11,2,))</f>
        <v>0</v>
      </c>
      <c r="Z235">
        <f>IF(ISNA(VLOOKUP((CONCATENATE("Target Throw-",I235,"-",Input!L235)),points11,2,)),0,VLOOKUP((CONCATENATE("Target Throw-",I235,"-",Input!L235)),points11,2,))</f>
        <v>0</v>
      </c>
      <c r="AA235">
        <f>IF(ISNA(VLOOKUP((CONCATENATE("Hi-Stepper-",I235,"-",Input!M235)),points11,2,)),0,VLOOKUP((CONCATENATE("Hi-Stepper-",I235,"-",Input!M235)),points11,2,))</f>
        <v>0</v>
      </c>
      <c r="AB235">
        <f>IF(ISNA(VLOOKUP((CONCATENATE("Chest Push-",I235,"-",Input!N235)),points11,2,)),0,VLOOKUP((CONCATENATE("Chest Push-",I235,"-",Input!N235)),points11,2,))</f>
        <v>0</v>
      </c>
      <c r="AC235">
        <f>IF(ISNA(VLOOKUP((CONCATENATE("Javelin Throw-",I235,"-",Input!O235)),points11,2,)),0,VLOOKUP((CONCATENATE("Javelin Throw-",I235,"-",Input!O235)),points11,2,))</f>
        <v>0</v>
      </c>
      <c r="AD235">
        <f t="shared" si="42"/>
        <v>0</v>
      </c>
      <c r="AE235" t="str">
        <f t="shared" si="43"/>
        <v xml:space="preserve"> </v>
      </c>
      <c r="AF235">
        <f t="shared" si="44"/>
        <v>0</v>
      </c>
    </row>
    <row r="236" spans="2:40" ht="15" thickBot="1" x14ac:dyDescent="0.4">
      <c r="B236" s="631"/>
      <c r="C236" s="520">
        <v>10</v>
      </c>
      <c r="D236" s="289">
        <v>19</v>
      </c>
      <c r="E236" s="387"/>
      <c r="F236" s="362"/>
      <c r="G236" s="388"/>
      <c r="H236" s="388"/>
      <c r="I236" s="388"/>
      <c r="J236" s="393"/>
      <c r="K236" s="388"/>
      <c r="L236" s="388"/>
      <c r="M236" s="388"/>
      <c r="N236" s="388"/>
      <c r="O236" s="503"/>
      <c r="P236" s="509">
        <f t="shared" si="34"/>
        <v>0</v>
      </c>
      <c r="Q236" s="445">
        <f t="shared" si="35"/>
        <v>0</v>
      </c>
      <c r="R236" s="445">
        <f t="shared" si="36"/>
        <v>0</v>
      </c>
      <c r="S236" s="445">
        <f t="shared" si="37"/>
        <v>0</v>
      </c>
      <c r="T236" s="445">
        <f t="shared" si="38"/>
        <v>0</v>
      </c>
      <c r="U236" s="445">
        <f t="shared" si="39"/>
        <v>0</v>
      </c>
      <c r="V236" s="445">
        <f t="shared" si="40"/>
        <v>0</v>
      </c>
      <c r="W236" s="446">
        <f t="shared" si="41"/>
        <v>0</v>
      </c>
      <c r="X236">
        <f>IF(ISNA(VLOOKUP((CONCATENATE("Standing Long Jump-",I236,"-",Input!J236)),points11,2,)),0,VLOOKUP((CONCATENATE("Standing Long Jump-",I236,"-",Input!J236)),points11,2,))</f>
        <v>0</v>
      </c>
      <c r="Y236">
        <f>IF(ISNA(VLOOKUP((CONCATENATE("Speed Bounce-",I236,"-",Input!K236)),points11,2,)),0,VLOOKUP((CONCATENATE("Speed Bounce-",I236,"-",Input!K236)),points11,2,))</f>
        <v>0</v>
      </c>
      <c r="Z236">
        <f>IF(ISNA(VLOOKUP((CONCATENATE("Target Throw-",I236,"-",Input!L236)),points11,2,)),0,VLOOKUP((CONCATENATE("Target Throw-",I236,"-",Input!L236)),points11,2,))</f>
        <v>0</v>
      </c>
      <c r="AA236">
        <f>IF(ISNA(VLOOKUP((CONCATENATE("Hi-Stepper-",I236,"-",Input!M236)),points11,2,)),0,VLOOKUP((CONCATENATE("Hi-Stepper-",I236,"-",Input!M236)),points11,2,))</f>
        <v>0</v>
      </c>
      <c r="AB236">
        <f>IF(ISNA(VLOOKUP((CONCATENATE("Chest Push-",I236,"-",Input!N236)),points11,2,)),0,VLOOKUP((CONCATENATE("Chest Push-",I236,"-",Input!N236)),points11,2,))</f>
        <v>0</v>
      </c>
      <c r="AC236">
        <f>IF(ISNA(VLOOKUP((CONCATENATE("Javelin Throw-",I236,"-",Input!O236)),points11,2,)),0,VLOOKUP((CONCATENATE("Javelin Throw-",I236,"-",Input!O236)),points11,2,))</f>
        <v>0</v>
      </c>
      <c r="AD236">
        <f t="shared" si="42"/>
        <v>0</v>
      </c>
      <c r="AE236" t="str">
        <f t="shared" si="43"/>
        <v xml:space="preserve"> </v>
      </c>
      <c r="AF236">
        <f t="shared" si="44"/>
        <v>0</v>
      </c>
    </row>
    <row r="237" spans="2:40" ht="15" thickBot="1" x14ac:dyDescent="0.4">
      <c r="B237" s="631"/>
      <c r="C237" s="520">
        <v>11</v>
      </c>
      <c r="D237" s="289">
        <v>19</v>
      </c>
      <c r="E237" s="387"/>
      <c r="F237" s="362"/>
      <c r="G237" s="388"/>
      <c r="H237" s="388"/>
      <c r="I237" s="388"/>
      <c r="J237" s="393"/>
      <c r="K237" s="388"/>
      <c r="L237" s="388"/>
      <c r="M237" s="388"/>
      <c r="N237" s="388"/>
      <c r="O237" s="503"/>
      <c r="P237" s="509">
        <f t="shared" si="34"/>
        <v>0</v>
      </c>
      <c r="Q237" s="445">
        <f t="shared" si="35"/>
        <v>0</v>
      </c>
      <c r="R237" s="445">
        <f t="shared" si="36"/>
        <v>0</v>
      </c>
      <c r="S237" s="445">
        <f t="shared" si="37"/>
        <v>0</v>
      </c>
      <c r="T237" s="445">
        <f t="shared" si="38"/>
        <v>0</v>
      </c>
      <c r="U237" s="445">
        <f t="shared" si="39"/>
        <v>0</v>
      </c>
      <c r="V237" s="445">
        <f t="shared" si="40"/>
        <v>0</v>
      </c>
      <c r="W237" s="446">
        <f t="shared" si="41"/>
        <v>0</v>
      </c>
      <c r="X237">
        <f>IF(ISNA(VLOOKUP((CONCATENATE("Standing Long Jump-",I237,"-",Input!J237)),points11,2,)),0,VLOOKUP((CONCATENATE("Standing Long Jump-",I237,"-",Input!J237)),points11,2,))</f>
        <v>0</v>
      </c>
      <c r="Y237">
        <f>IF(ISNA(VLOOKUP((CONCATENATE("Speed Bounce-",I237,"-",Input!K237)),points11,2,)),0,VLOOKUP((CONCATENATE("Speed Bounce-",I237,"-",Input!K237)),points11,2,))</f>
        <v>0</v>
      </c>
      <c r="Z237">
        <f>IF(ISNA(VLOOKUP((CONCATENATE("Target Throw-",I237,"-",Input!L237)),points11,2,)),0,VLOOKUP((CONCATENATE("Target Throw-",I237,"-",Input!L237)),points11,2,))</f>
        <v>0</v>
      </c>
      <c r="AA237">
        <f>IF(ISNA(VLOOKUP((CONCATENATE("Hi-Stepper-",I237,"-",Input!M237)),points11,2,)),0,VLOOKUP((CONCATENATE("Hi-Stepper-",I237,"-",Input!M237)),points11,2,))</f>
        <v>0</v>
      </c>
      <c r="AB237">
        <f>IF(ISNA(VLOOKUP((CONCATENATE("Chest Push-",I237,"-",Input!N237)),points11,2,)),0,VLOOKUP((CONCATENATE("Chest Push-",I237,"-",Input!N237)),points11,2,))</f>
        <v>0</v>
      </c>
      <c r="AC237">
        <f>IF(ISNA(VLOOKUP((CONCATENATE("Javelin Throw-",I237,"-",Input!O237)),points11,2,)),0,VLOOKUP((CONCATENATE("Javelin Throw-",I237,"-",Input!O237)),points11,2,))</f>
        <v>0</v>
      </c>
      <c r="AD237">
        <f t="shared" si="42"/>
        <v>0</v>
      </c>
      <c r="AE237" t="str">
        <f t="shared" si="43"/>
        <v xml:space="preserve"> </v>
      </c>
      <c r="AF237">
        <f t="shared" si="44"/>
        <v>0</v>
      </c>
      <c r="AN237" s="297"/>
    </row>
    <row r="238" spans="2:40" ht="15" thickBot="1" x14ac:dyDescent="0.4">
      <c r="B238" s="631"/>
      <c r="C238" s="520">
        <v>12</v>
      </c>
      <c r="D238" s="289">
        <v>19</v>
      </c>
      <c r="E238" s="394"/>
      <c r="F238" s="395"/>
      <c r="G238" s="396"/>
      <c r="H238" s="396"/>
      <c r="I238" s="396"/>
      <c r="J238" s="397"/>
      <c r="K238" s="396"/>
      <c r="L238" s="396"/>
      <c r="M238" s="396"/>
      <c r="N238" s="396"/>
      <c r="O238" s="506"/>
      <c r="P238" s="510">
        <f t="shared" si="34"/>
        <v>0</v>
      </c>
      <c r="Q238" s="447">
        <f t="shared" si="35"/>
        <v>0</v>
      </c>
      <c r="R238" s="447">
        <f t="shared" si="36"/>
        <v>0</v>
      </c>
      <c r="S238" s="447">
        <f t="shared" si="37"/>
        <v>0</v>
      </c>
      <c r="T238" s="447">
        <f t="shared" si="38"/>
        <v>0</v>
      </c>
      <c r="U238" s="447">
        <f t="shared" si="39"/>
        <v>0</v>
      </c>
      <c r="V238" s="447">
        <f t="shared" si="40"/>
        <v>0</v>
      </c>
      <c r="W238" s="448">
        <f t="shared" si="41"/>
        <v>0</v>
      </c>
      <c r="X238">
        <f>IF(ISNA(VLOOKUP((CONCATENATE("Standing Long Jump-",I238,"-",Input!J238)),points11,2,)),0,VLOOKUP((CONCATENATE("Standing Long Jump-",I238,"-",Input!J238)),points11,2,))</f>
        <v>0</v>
      </c>
      <c r="Y238">
        <f>IF(ISNA(VLOOKUP((CONCATENATE("Speed Bounce-",I238,"-",Input!K238)),points11,2,)),0,VLOOKUP((CONCATENATE("Speed Bounce-",I238,"-",Input!K238)),points11,2,))</f>
        <v>0</v>
      </c>
      <c r="Z238">
        <f>IF(ISNA(VLOOKUP((CONCATENATE("Target Throw-",I238,"-",Input!L238)),points11,2,)),0,VLOOKUP((CONCATENATE("Target Throw-",I238,"-",Input!L238)),points11,2,))</f>
        <v>0</v>
      </c>
      <c r="AA238">
        <f>IF(ISNA(VLOOKUP((CONCATENATE("Hi-Stepper-",I238,"-",Input!M238)),points11,2,)),0,VLOOKUP((CONCATENATE("Hi-Stepper-",I238,"-",Input!M238)),points11,2,))</f>
        <v>0</v>
      </c>
      <c r="AB238">
        <f>IF(ISNA(VLOOKUP((CONCATENATE("Chest Push-",I238,"-",Input!N238)),points11,2,)),0,VLOOKUP((CONCATENATE("Chest Push-",I238,"-",Input!N238)),points11,2,))</f>
        <v>0</v>
      </c>
      <c r="AC238">
        <f>IF(ISNA(VLOOKUP((CONCATENATE("Javelin Throw-",I238,"-",Input!O238)),points11,2,)),0,VLOOKUP((CONCATENATE("Javelin Throw-",I238,"-",Input!O238)),points11,2,))</f>
        <v>0</v>
      </c>
      <c r="AD238">
        <f t="shared" si="42"/>
        <v>0</v>
      </c>
      <c r="AE238" t="str">
        <f t="shared" si="43"/>
        <v xml:space="preserve"> </v>
      </c>
      <c r="AF238">
        <f t="shared" si="44"/>
        <v>0</v>
      </c>
    </row>
    <row r="239" spans="2:40" ht="15" thickBot="1" x14ac:dyDescent="0.4">
      <c r="B239" s="631" t="str">
        <f>'Competition Menu'!E20</f>
        <v>Team 20</v>
      </c>
      <c r="C239" s="520">
        <v>1</v>
      </c>
      <c r="D239" s="289">
        <v>20</v>
      </c>
      <c r="E239" s="421"/>
      <c r="F239" s="407"/>
      <c r="G239" s="422"/>
      <c r="H239" s="422"/>
      <c r="I239" s="422"/>
      <c r="J239" s="431"/>
      <c r="K239" s="422"/>
      <c r="L239" s="422"/>
      <c r="M239" s="422"/>
      <c r="N239" s="422"/>
      <c r="O239" s="507"/>
      <c r="P239" s="511">
        <f t="shared" si="34"/>
        <v>0</v>
      </c>
      <c r="Q239" s="449">
        <f t="shared" si="35"/>
        <v>0</v>
      </c>
      <c r="R239" s="449">
        <f t="shared" si="36"/>
        <v>0</v>
      </c>
      <c r="S239" s="449">
        <f t="shared" si="37"/>
        <v>0</v>
      </c>
      <c r="T239" s="449">
        <f t="shared" si="38"/>
        <v>0</v>
      </c>
      <c r="U239" s="449">
        <f t="shared" si="39"/>
        <v>0</v>
      </c>
      <c r="V239" s="449">
        <f t="shared" si="40"/>
        <v>0</v>
      </c>
      <c r="W239" s="450">
        <f t="shared" si="41"/>
        <v>0</v>
      </c>
      <c r="X239">
        <f>IF(ISNA(VLOOKUP((CONCATENATE("Standing Long Jump-",I239,"-",Input!J239)),points11,2,)),0,VLOOKUP((CONCATENATE("Standing Long Jump-",I239,"-",Input!J239)),points11,2,))</f>
        <v>0</v>
      </c>
      <c r="Y239">
        <f>IF(ISNA(VLOOKUP((CONCATENATE("Speed Bounce-",I239,"-",Input!K239)),points11,2,)),0,VLOOKUP((CONCATENATE("Speed Bounce-",I239,"-",Input!K239)),points11,2,))</f>
        <v>0</v>
      </c>
      <c r="Z239">
        <f>IF(ISNA(VLOOKUP((CONCATENATE("Target Throw-",I239,"-",Input!L239)),points11,2,)),0,VLOOKUP((CONCATENATE("Target Throw-",I239,"-",Input!L239)),points11,2,))</f>
        <v>0</v>
      </c>
      <c r="AA239">
        <f>IF(ISNA(VLOOKUP((CONCATENATE("Hi-Stepper-",I239,"-",Input!M239)),points11,2,)),0,VLOOKUP((CONCATENATE("Hi-Stepper-",I239,"-",Input!M239)),points11,2,))</f>
        <v>0</v>
      </c>
      <c r="AB239">
        <f>IF(ISNA(VLOOKUP((CONCATENATE("Chest Push-",I239,"-",Input!N239)),points11,2,)),0,VLOOKUP((CONCATENATE("Chest Push-",I239,"-",Input!N239)),points11,2,))</f>
        <v>0</v>
      </c>
      <c r="AC239">
        <f>IF(ISNA(VLOOKUP((CONCATENATE("Javelin Throw-",I239,"-",Input!O239)),points11,2,)),0,VLOOKUP((CONCATENATE("Javelin Throw-",I239,"-",Input!O239)),points11,2,))</f>
        <v>0</v>
      </c>
      <c r="AD239">
        <f t="shared" si="42"/>
        <v>0</v>
      </c>
      <c r="AE239" t="str">
        <f t="shared" si="43"/>
        <v xml:space="preserve"> </v>
      </c>
      <c r="AF239">
        <f t="shared" si="44"/>
        <v>0</v>
      </c>
    </row>
    <row r="240" spans="2:40" ht="15" thickBot="1" x14ac:dyDescent="0.4">
      <c r="B240" s="631"/>
      <c r="C240" s="520">
        <v>2</v>
      </c>
      <c r="D240" s="289">
        <v>20</v>
      </c>
      <c r="E240" s="387"/>
      <c r="F240" s="362"/>
      <c r="G240" s="388"/>
      <c r="H240" s="388"/>
      <c r="I240" s="388"/>
      <c r="J240" s="393"/>
      <c r="K240" s="388"/>
      <c r="L240" s="388"/>
      <c r="M240" s="388"/>
      <c r="N240" s="388"/>
      <c r="O240" s="503"/>
      <c r="P240" s="509">
        <f t="shared" si="34"/>
        <v>0</v>
      </c>
      <c r="Q240" s="445">
        <f t="shared" si="35"/>
        <v>0</v>
      </c>
      <c r="R240" s="445">
        <f t="shared" si="36"/>
        <v>0</v>
      </c>
      <c r="S240" s="445">
        <f t="shared" si="37"/>
        <v>0</v>
      </c>
      <c r="T240" s="445">
        <f t="shared" si="38"/>
        <v>0</v>
      </c>
      <c r="U240" s="445">
        <f t="shared" si="39"/>
        <v>0</v>
      </c>
      <c r="V240" s="445">
        <f t="shared" si="40"/>
        <v>0</v>
      </c>
      <c r="W240" s="446">
        <f t="shared" si="41"/>
        <v>0</v>
      </c>
      <c r="X240">
        <f>IF(ISNA(VLOOKUP((CONCATENATE("Standing Long Jump-",I240,"-",Input!J240)),points11,2,)),0,VLOOKUP((CONCATENATE("Standing Long Jump-",I240,"-",Input!J240)),points11,2,))</f>
        <v>0</v>
      </c>
      <c r="Y240">
        <f>IF(ISNA(VLOOKUP((CONCATENATE("Speed Bounce-",I240,"-",Input!K240)),points11,2,)),0,VLOOKUP((CONCATENATE("Speed Bounce-",I240,"-",Input!K240)),points11,2,))</f>
        <v>0</v>
      </c>
      <c r="Z240">
        <f>IF(ISNA(VLOOKUP((CONCATENATE("Target Throw-",I240,"-",Input!L240)),points11,2,)),0,VLOOKUP((CONCATENATE("Target Throw-",I240,"-",Input!L240)),points11,2,))</f>
        <v>0</v>
      </c>
      <c r="AA240">
        <f>IF(ISNA(VLOOKUP((CONCATENATE("Hi-Stepper-",I240,"-",Input!M240)),points11,2,)),0,VLOOKUP((CONCATENATE("Hi-Stepper-",I240,"-",Input!M240)),points11,2,))</f>
        <v>0</v>
      </c>
      <c r="AB240">
        <f>IF(ISNA(VLOOKUP((CONCATENATE("Chest Push-",I240,"-",Input!N240)),points11,2,)),0,VLOOKUP((CONCATENATE("Chest Push-",I240,"-",Input!N240)),points11,2,))</f>
        <v>0</v>
      </c>
      <c r="AC240">
        <f>IF(ISNA(VLOOKUP((CONCATENATE("Javelin Throw-",I240,"-",Input!O240)),points11,2,)),0,VLOOKUP((CONCATENATE("Javelin Throw-",I240,"-",Input!O240)),points11,2,))</f>
        <v>0</v>
      </c>
      <c r="AD240">
        <f t="shared" si="42"/>
        <v>0</v>
      </c>
      <c r="AE240" t="str">
        <f t="shared" si="43"/>
        <v xml:space="preserve"> </v>
      </c>
      <c r="AF240">
        <f t="shared" si="44"/>
        <v>0</v>
      </c>
    </row>
    <row r="241" spans="2:32" ht="15" thickBot="1" x14ac:dyDescent="0.4">
      <c r="B241" s="631"/>
      <c r="C241" s="520">
        <v>3</v>
      </c>
      <c r="D241" s="289">
        <v>20</v>
      </c>
      <c r="E241" s="387"/>
      <c r="F241" s="362"/>
      <c r="G241" s="388"/>
      <c r="H241" s="388"/>
      <c r="I241" s="388"/>
      <c r="J241" s="393"/>
      <c r="K241" s="388"/>
      <c r="L241" s="388"/>
      <c r="M241" s="388"/>
      <c r="N241" s="388"/>
      <c r="O241" s="503"/>
      <c r="P241" s="509">
        <f t="shared" si="34"/>
        <v>0</v>
      </c>
      <c r="Q241" s="445">
        <f t="shared" si="35"/>
        <v>0</v>
      </c>
      <c r="R241" s="445">
        <f t="shared" si="36"/>
        <v>0</v>
      </c>
      <c r="S241" s="445">
        <f t="shared" si="37"/>
        <v>0</v>
      </c>
      <c r="T241" s="445">
        <f t="shared" si="38"/>
        <v>0</v>
      </c>
      <c r="U241" s="445">
        <f t="shared" si="39"/>
        <v>0</v>
      </c>
      <c r="V241" s="445">
        <f t="shared" si="40"/>
        <v>0</v>
      </c>
      <c r="W241" s="446">
        <f t="shared" si="41"/>
        <v>0</v>
      </c>
      <c r="X241">
        <f>IF(ISNA(VLOOKUP((CONCATENATE("Standing Long Jump-",I241,"-",Input!J241)),points11,2,)),0,VLOOKUP((CONCATENATE("Standing Long Jump-",I241,"-",Input!J241)),points11,2,))</f>
        <v>0</v>
      </c>
      <c r="Y241">
        <f>IF(ISNA(VLOOKUP((CONCATENATE("Speed Bounce-",I241,"-",Input!K241)),points11,2,)),0,VLOOKUP((CONCATENATE("Speed Bounce-",I241,"-",Input!K241)),points11,2,))</f>
        <v>0</v>
      </c>
      <c r="Z241">
        <f>IF(ISNA(VLOOKUP((CONCATENATE("Target Throw-",I241,"-",Input!L241)),points11,2,)),0,VLOOKUP((CONCATENATE("Target Throw-",I241,"-",Input!L241)),points11,2,))</f>
        <v>0</v>
      </c>
      <c r="AA241">
        <f>IF(ISNA(VLOOKUP((CONCATENATE("Hi-Stepper-",I241,"-",Input!M241)),points11,2,)),0,VLOOKUP((CONCATENATE("Hi-Stepper-",I241,"-",Input!M241)),points11,2,))</f>
        <v>0</v>
      </c>
      <c r="AB241">
        <f>IF(ISNA(VLOOKUP((CONCATENATE("Chest Push-",I241,"-",Input!N241)),points11,2,)),0,VLOOKUP((CONCATENATE("Chest Push-",I241,"-",Input!N241)),points11,2,))</f>
        <v>0</v>
      </c>
      <c r="AC241">
        <f>IF(ISNA(VLOOKUP((CONCATENATE("Javelin Throw-",I241,"-",Input!O241)),points11,2,)),0,VLOOKUP((CONCATENATE("Javelin Throw-",I241,"-",Input!O241)),points11,2,))</f>
        <v>0</v>
      </c>
      <c r="AD241">
        <f t="shared" si="42"/>
        <v>0</v>
      </c>
      <c r="AE241" t="str">
        <f t="shared" si="43"/>
        <v xml:space="preserve"> </v>
      </c>
      <c r="AF241">
        <f t="shared" si="44"/>
        <v>0</v>
      </c>
    </row>
    <row r="242" spans="2:32" ht="15" thickBot="1" x14ac:dyDescent="0.4">
      <c r="B242" s="631"/>
      <c r="C242" s="520">
        <v>4</v>
      </c>
      <c r="D242" s="289">
        <v>20</v>
      </c>
      <c r="E242" s="387"/>
      <c r="F242" s="362"/>
      <c r="G242" s="388"/>
      <c r="H242" s="388"/>
      <c r="I242" s="388"/>
      <c r="J242" s="393"/>
      <c r="K242" s="388"/>
      <c r="L242" s="388"/>
      <c r="M242" s="388"/>
      <c r="N242" s="388"/>
      <c r="O242" s="503"/>
      <c r="P242" s="509">
        <f t="shared" si="34"/>
        <v>0</v>
      </c>
      <c r="Q242" s="445">
        <f t="shared" si="35"/>
        <v>0</v>
      </c>
      <c r="R242" s="445">
        <f t="shared" si="36"/>
        <v>0</v>
      </c>
      <c r="S242" s="445">
        <f t="shared" si="37"/>
        <v>0</v>
      </c>
      <c r="T242" s="445">
        <f t="shared" si="38"/>
        <v>0</v>
      </c>
      <c r="U242" s="445">
        <f t="shared" si="39"/>
        <v>0</v>
      </c>
      <c r="V242" s="445">
        <f t="shared" si="40"/>
        <v>0</v>
      </c>
      <c r="W242" s="446">
        <f t="shared" si="41"/>
        <v>0</v>
      </c>
      <c r="X242">
        <f>IF(ISNA(VLOOKUP((CONCATENATE("Standing Long Jump-",I242,"-",Input!J242)),points11,2,)),0,VLOOKUP((CONCATENATE("Standing Long Jump-",I242,"-",Input!J242)),points11,2,))</f>
        <v>0</v>
      </c>
      <c r="Y242">
        <f>IF(ISNA(VLOOKUP((CONCATENATE("Speed Bounce-",I242,"-",Input!K242)),points11,2,)),0,VLOOKUP((CONCATENATE("Speed Bounce-",I242,"-",Input!K242)),points11,2,))</f>
        <v>0</v>
      </c>
      <c r="Z242">
        <f>IF(ISNA(VLOOKUP((CONCATENATE("Target Throw-",I242,"-",Input!L242)),points11,2,)),0,VLOOKUP((CONCATENATE("Target Throw-",I242,"-",Input!L242)),points11,2,))</f>
        <v>0</v>
      </c>
      <c r="AA242">
        <f>IF(ISNA(VLOOKUP((CONCATENATE("Hi-Stepper-",I242,"-",Input!M242)),points11,2,)),0,VLOOKUP((CONCATENATE("Hi-Stepper-",I242,"-",Input!M242)),points11,2,))</f>
        <v>0</v>
      </c>
      <c r="AB242">
        <f>IF(ISNA(VLOOKUP((CONCATENATE("Chest Push-",I242,"-",Input!N242)),points11,2,)),0,VLOOKUP((CONCATENATE("Chest Push-",I242,"-",Input!N242)),points11,2,))</f>
        <v>0</v>
      </c>
      <c r="AC242">
        <f>IF(ISNA(VLOOKUP((CONCATENATE("Javelin Throw-",I242,"-",Input!O242)),points11,2,)),0,VLOOKUP((CONCATENATE("Javelin Throw-",I242,"-",Input!O242)),points11,2,))</f>
        <v>0</v>
      </c>
      <c r="AD242">
        <f t="shared" si="42"/>
        <v>0</v>
      </c>
      <c r="AE242" t="str">
        <f t="shared" si="43"/>
        <v xml:space="preserve"> </v>
      </c>
      <c r="AF242">
        <f t="shared" si="44"/>
        <v>0</v>
      </c>
    </row>
    <row r="243" spans="2:32" ht="15" thickBot="1" x14ac:dyDescent="0.4">
      <c r="B243" s="631"/>
      <c r="C243" s="520">
        <v>5</v>
      </c>
      <c r="D243" s="289">
        <v>20</v>
      </c>
      <c r="E243" s="387"/>
      <c r="F243" s="362"/>
      <c r="G243" s="388"/>
      <c r="H243" s="388"/>
      <c r="I243" s="388"/>
      <c r="J243" s="393"/>
      <c r="K243" s="388"/>
      <c r="L243" s="388"/>
      <c r="M243" s="388"/>
      <c r="N243" s="388"/>
      <c r="O243" s="503"/>
      <c r="P243" s="509">
        <f t="shared" si="34"/>
        <v>0</v>
      </c>
      <c r="Q243" s="445">
        <f t="shared" si="35"/>
        <v>0</v>
      </c>
      <c r="R243" s="445">
        <f t="shared" si="36"/>
        <v>0</v>
      </c>
      <c r="S243" s="445">
        <f t="shared" si="37"/>
        <v>0</v>
      </c>
      <c r="T243" s="445">
        <f t="shared" si="38"/>
        <v>0</v>
      </c>
      <c r="U243" s="445">
        <f t="shared" si="39"/>
        <v>0</v>
      </c>
      <c r="V243" s="445">
        <f t="shared" si="40"/>
        <v>0</v>
      </c>
      <c r="W243" s="446">
        <f t="shared" si="41"/>
        <v>0</v>
      </c>
      <c r="X243">
        <f>IF(ISNA(VLOOKUP((CONCATENATE("Standing Long Jump-",I243,"-",Input!J243)),points11,2,)),0,VLOOKUP((CONCATENATE("Standing Long Jump-",I243,"-",Input!J243)),points11,2,))</f>
        <v>0</v>
      </c>
      <c r="Y243">
        <f>IF(ISNA(VLOOKUP((CONCATENATE("Speed Bounce-",I243,"-",Input!K243)),points11,2,)),0,VLOOKUP((CONCATENATE("Speed Bounce-",I243,"-",Input!K243)),points11,2,))</f>
        <v>0</v>
      </c>
      <c r="Z243">
        <f>IF(ISNA(VLOOKUP((CONCATENATE("Target Throw-",I243,"-",Input!L243)),points11,2,)),0,VLOOKUP((CONCATENATE("Target Throw-",I243,"-",Input!L243)),points11,2,))</f>
        <v>0</v>
      </c>
      <c r="AA243">
        <f>IF(ISNA(VLOOKUP((CONCATENATE("Hi-Stepper-",I243,"-",Input!M243)),points11,2,)),0,VLOOKUP((CONCATENATE("Hi-Stepper-",I243,"-",Input!M243)),points11,2,))</f>
        <v>0</v>
      </c>
      <c r="AB243">
        <f>IF(ISNA(VLOOKUP((CONCATENATE("Chest Push-",I243,"-",Input!N243)),points11,2,)),0,VLOOKUP((CONCATENATE("Chest Push-",I243,"-",Input!N243)),points11,2,))</f>
        <v>0</v>
      </c>
      <c r="AC243">
        <f>IF(ISNA(VLOOKUP((CONCATENATE("Javelin Throw-",I243,"-",Input!O243)),points11,2,)),0,VLOOKUP((CONCATENATE("Javelin Throw-",I243,"-",Input!O243)),points11,2,))</f>
        <v>0</v>
      </c>
      <c r="AD243">
        <f t="shared" si="42"/>
        <v>0</v>
      </c>
      <c r="AE243" t="str">
        <f t="shared" si="43"/>
        <v xml:space="preserve"> </v>
      </c>
      <c r="AF243">
        <f t="shared" si="44"/>
        <v>0</v>
      </c>
    </row>
    <row r="244" spans="2:32" ht="15" thickBot="1" x14ac:dyDescent="0.4">
      <c r="B244" s="631"/>
      <c r="C244" s="520">
        <v>6</v>
      </c>
      <c r="D244" s="289">
        <v>20</v>
      </c>
      <c r="E244" s="387"/>
      <c r="F244" s="362"/>
      <c r="G244" s="388"/>
      <c r="H244" s="388"/>
      <c r="I244" s="388"/>
      <c r="J244" s="393"/>
      <c r="K244" s="388"/>
      <c r="L244" s="388"/>
      <c r="M244" s="388"/>
      <c r="N244" s="388"/>
      <c r="O244" s="503"/>
      <c r="P244" s="509">
        <f t="shared" si="34"/>
        <v>0</v>
      </c>
      <c r="Q244" s="445">
        <f t="shared" si="35"/>
        <v>0</v>
      </c>
      <c r="R244" s="445">
        <f t="shared" si="36"/>
        <v>0</v>
      </c>
      <c r="S244" s="445">
        <f t="shared" si="37"/>
        <v>0</v>
      </c>
      <c r="T244" s="445">
        <f t="shared" si="38"/>
        <v>0</v>
      </c>
      <c r="U244" s="445">
        <f t="shared" si="39"/>
        <v>0</v>
      </c>
      <c r="V244" s="445">
        <f t="shared" si="40"/>
        <v>0</v>
      </c>
      <c r="W244" s="446">
        <f t="shared" si="41"/>
        <v>0</v>
      </c>
      <c r="X244">
        <f>IF(ISNA(VLOOKUP((CONCATENATE("Standing Long Jump-",I244,"-",Input!J244)),points11,2,)),0,VLOOKUP((CONCATENATE("Standing Long Jump-",I244,"-",Input!J244)),points11,2,))</f>
        <v>0</v>
      </c>
      <c r="Y244">
        <f>IF(ISNA(VLOOKUP((CONCATENATE("Speed Bounce-",I244,"-",Input!K244)),points11,2,)),0,VLOOKUP((CONCATENATE("Speed Bounce-",I244,"-",Input!K244)),points11,2,))</f>
        <v>0</v>
      </c>
      <c r="Z244">
        <f>IF(ISNA(VLOOKUP((CONCATENATE("Target Throw-",I244,"-",Input!L244)),points11,2,)),0,VLOOKUP((CONCATENATE("Target Throw-",I244,"-",Input!L244)),points11,2,))</f>
        <v>0</v>
      </c>
      <c r="AA244">
        <f>IF(ISNA(VLOOKUP((CONCATENATE("Hi-Stepper-",I244,"-",Input!M244)),points11,2,)),0,VLOOKUP((CONCATENATE("Hi-Stepper-",I244,"-",Input!M244)),points11,2,))</f>
        <v>0</v>
      </c>
      <c r="AB244">
        <f>IF(ISNA(VLOOKUP((CONCATENATE("Chest Push-",I244,"-",Input!N244)),points11,2,)),0,VLOOKUP((CONCATENATE("Chest Push-",I244,"-",Input!N244)),points11,2,))</f>
        <v>0</v>
      </c>
      <c r="AC244">
        <f>IF(ISNA(VLOOKUP((CONCATENATE("Javelin Throw-",I244,"-",Input!O244)),points11,2,)),0,VLOOKUP((CONCATENATE("Javelin Throw-",I244,"-",Input!O244)),points11,2,))</f>
        <v>0</v>
      </c>
      <c r="AD244">
        <f t="shared" si="42"/>
        <v>0</v>
      </c>
      <c r="AE244" t="str">
        <f t="shared" si="43"/>
        <v xml:space="preserve"> </v>
      </c>
      <c r="AF244">
        <f t="shared" si="44"/>
        <v>0</v>
      </c>
    </row>
    <row r="245" spans="2:32" ht="15" thickBot="1" x14ac:dyDescent="0.4">
      <c r="B245" s="631"/>
      <c r="C245" s="520">
        <v>7</v>
      </c>
      <c r="D245" s="289">
        <v>20</v>
      </c>
      <c r="E245" s="387"/>
      <c r="F245" s="362"/>
      <c r="G245" s="388"/>
      <c r="H245" s="388"/>
      <c r="I245" s="388"/>
      <c r="J245" s="393"/>
      <c r="K245" s="388"/>
      <c r="L245" s="388"/>
      <c r="M245" s="388"/>
      <c r="N245" s="388"/>
      <c r="O245" s="503"/>
      <c r="P245" s="509">
        <f t="shared" si="34"/>
        <v>0</v>
      </c>
      <c r="Q245" s="445">
        <f t="shared" si="35"/>
        <v>0</v>
      </c>
      <c r="R245" s="445">
        <f t="shared" si="36"/>
        <v>0</v>
      </c>
      <c r="S245" s="445">
        <f t="shared" si="37"/>
        <v>0</v>
      </c>
      <c r="T245" s="445">
        <f t="shared" si="38"/>
        <v>0</v>
      </c>
      <c r="U245" s="445">
        <f t="shared" si="39"/>
        <v>0</v>
      </c>
      <c r="V245" s="445">
        <f t="shared" si="40"/>
        <v>0</v>
      </c>
      <c r="W245" s="446">
        <f t="shared" si="41"/>
        <v>0</v>
      </c>
      <c r="X245">
        <f>IF(ISNA(VLOOKUP((CONCATENATE("Standing Long Jump-",I245,"-",Input!J245)),points11,2,)),0,VLOOKUP((CONCATENATE("Standing Long Jump-",I245,"-",Input!J245)),points11,2,))</f>
        <v>0</v>
      </c>
      <c r="Y245">
        <f>IF(ISNA(VLOOKUP((CONCATENATE("Speed Bounce-",I245,"-",Input!K245)),points11,2,)),0,VLOOKUP((CONCATENATE("Speed Bounce-",I245,"-",Input!K245)),points11,2,))</f>
        <v>0</v>
      </c>
      <c r="Z245">
        <f>IF(ISNA(VLOOKUP((CONCATENATE("Target Throw-",I245,"-",Input!L245)),points11,2,)),0,VLOOKUP((CONCATENATE("Target Throw-",I245,"-",Input!L245)),points11,2,))</f>
        <v>0</v>
      </c>
      <c r="AA245">
        <f>IF(ISNA(VLOOKUP((CONCATENATE("Hi-Stepper-",I245,"-",Input!M245)),points11,2,)),0,VLOOKUP((CONCATENATE("Hi-Stepper-",I245,"-",Input!M245)),points11,2,))</f>
        <v>0</v>
      </c>
      <c r="AB245">
        <f>IF(ISNA(VLOOKUP((CONCATENATE("Chest Push-",I245,"-",Input!N245)),points11,2,)),0,VLOOKUP((CONCATENATE("Chest Push-",I245,"-",Input!N245)),points11,2,))</f>
        <v>0</v>
      </c>
      <c r="AC245">
        <f>IF(ISNA(VLOOKUP((CONCATENATE("Javelin Throw-",I245,"-",Input!O245)),points11,2,)),0,VLOOKUP((CONCATENATE("Javelin Throw-",I245,"-",Input!O245)),points11,2,))</f>
        <v>0</v>
      </c>
      <c r="AD245">
        <f t="shared" si="42"/>
        <v>0</v>
      </c>
      <c r="AE245" t="str">
        <f t="shared" si="43"/>
        <v xml:space="preserve"> </v>
      </c>
      <c r="AF245">
        <f t="shared" si="44"/>
        <v>0</v>
      </c>
    </row>
    <row r="246" spans="2:32" ht="15" thickBot="1" x14ac:dyDescent="0.4">
      <c r="B246" s="631"/>
      <c r="C246" s="520">
        <v>8</v>
      </c>
      <c r="D246" s="289">
        <v>20</v>
      </c>
      <c r="E246" s="387"/>
      <c r="F246" s="362"/>
      <c r="G246" s="388"/>
      <c r="H246" s="388"/>
      <c r="I246" s="388"/>
      <c r="J246" s="393"/>
      <c r="K246" s="388"/>
      <c r="L246" s="388"/>
      <c r="M246" s="388"/>
      <c r="N246" s="388"/>
      <c r="O246" s="503"/>
      <c r="P246" s="509">
        <f t="shared" si="34"/>
        <v>0</v>
      </c>
      <c r="Q246" s="445">
        <f t="shared" si="35"/>
        <v>0</v>
      </c>
      <c r="R246" s="445">
        <f t="shared" si="36"/>
        <v>0</v>
      </c>
      <c r="S246" s="445">
        <f t="shared" si="37"/>
        <v>0</v>
      </c>
      <c r="T246" s="445">
        <f t="shared" si="38"/>
        <v>0</v>
      </c>
      <c r="U246" s="445">
        <f t="shared" si="39"/>
        <v>0</v>
      </c>
      <c r="V246" s="445">
        <f t="shared" si="40"/>
        <v>0</v>
      </c>
      <c r="W246" s="446">
        <f t="shared" si="41"/>
        <v>0</v>
      </c>
      <c r="X246">
        <f>IF(ISNA(VLOOKUP((CONCATENATE("Standing Long Jump-",I246,"-",Input!J246)),points11,2,)),0,VLOOKUP((CONCATENATE("Standing Long Jump-",I246,"-",Input!J246)),points11,2,))</f>
        <v>0</v>
      </c>
      <c r="Y246">
        <f>IF(ISNA(VLOOKUP((CONCATENATE("Speed Bounce-",I246,"-",Input!K246)),points11,2,)),0,VLOOKUP((CONCATENATE("Speed Bounce-",I246,"-",Input!K246)),points11,2,))</f>
        <v>0</v>
      </c>
      <c r="Z246">
        <f>IF(ISNA(VLOOKUP((CONCATENATE("Target Throw-",I246,"-",Input!L246)),points11,2,)),0,VLOOKUP((CONCATENATE("Target Throw-",I246,"-",Input!L246)),points11,2,))</f>
        <v>0</v>
      </c>
      <c r="AA246">
        <f>IF(ISNA(VLOOKUP((CONCATENATE("Hi-Stepper-",I246,"-",Input!M246)),points11,2,)),0,VLOOKUP((CONCATENATE("Hi-Stepper-",I246,"-",Input!M246)),points11,2,))</f>
        <v>0</v>
      </c>
      <c r="AB246">
        <f>IF(ISNA(VLOOKUP((CONCATENATE("Chest Push-",I246,"-",Input!N246)),points11,2,)),0,VLOOKUP((CONCATENATE("Chest Push-",I246,"-",Input!N246)),points11,2,))</f>
        <v>0</v>
      </c>
      <c r="AC246">
        <f>IF(ISNA(VLOOKUP((CONCATENATE("Javelin Throw-",I246,"-",Input!O246)),points11,2,)),0,VLOOKUP((CONCATENATE("Javelin Throw-",I246,"-",Input!O246)),points11,2,))</f>
        <v>0</v>
      </c>
      <c r="AD246">
        <f t="shared" si="42"/>
        <v>0</v>
      </c>
      <c r="AE246" t="str">
        <f t="shared" si="43"/>
        <v xml:space="preserve"> </v>
      </c>
      <c r="AF246">
        <f t="shared" si="44"/>
        <v>0</v>
      </c>
    </row>
    <row r="247" spans="2:32" ht="15" thickBot="1" x14ac:dyDescent="0.4">
      <c r="B247" s="631"/>
      <c r="C247" s="520">
        <v>9</v>
      </c>
      <c r="D247" s="289">
        <v>20</v>
      </c>
      <c r="E247" s="387"/>
      <c r="F247" s="362"/>
      <c r="G247" s="388"/>
      <c r="H247" s="388"/>
      <c r="I247" s="388"/>
      <c r="J247" s="393"/>
      <c r="K247" s="388"/>
      <c r="L247" s="388"/>
      <c r="M247" s="388"/>
      <c r="N247" s="388"/>
      <c r="O247" s="503"/>
      <c r="P247" s="509">
        <f t="shared" si="34"/>
        <v>0</v>
      </c>
      <c r="Q247" s="445">
        <f t="shared" si="35"/>
        <v>0</v>
      </c>
      <c r="R247" s="445">
        <f t="shared" si="36"/>
        <v>0</v>
      </c>
      <c r="S247" s="445">
        <f t="shared" si="37"/>
        <v>0</v>
      </c>
      <c r="T247" s="445">
        <f t="shared" si="38"/>
        <v>0</v>
      </c>
      <c r="U247" s="445">
        <f t="shared" si="39"/>
        <v>0</v>
      </c>
      <c r="V247" s="445">
        <f t="shared" si="40"/>
        <v>0</v>
      </c>
      <c r="W247" s="446">
        <f t="shared" si="41"/>
        <v>0</v>
      </c>
      <c r="X247">
        <f>IF(ISNA(VLOOKUP((CONCATENATE("Standing Long Jump-",I247,"-",Input!J247)),points11,2,)),0,VLOOKUP((CONCATENATE("Standing Long Jump-",I247,"-",Input!J247)),points11,2,))</f>
        <v>0</v>
      </c>
      <c r="Y247">
        <f>IF(ISNA(VLOOKUP((CONCATENATE("Speed Bounce-",I247,"-",Input!K247)),points11,2,)),0,VLOOKUP((CONCATENATE("Speed Bounce-",I247,"-",Input!K247)),points11,2,))</f>
        <v>0</v>
      </c>
      <c r="Z247">
        <f>IF(ISNA(VLOOKUP((CONCATENATE("Target Throw-",I247,"-",Input!L247)),points11,2,)),0,VLOOKUP((CONCATENATE("Target Throw-",I247,"-",Input!L247)),points11,2,))</f>
        <v>0</v>
      </c>
      <c r="AA247">
        <f>IF(ISNA(VLOOKUP((CONCATENATE("Hi-Stepper-",I247,"-",Input!M247)),points11,2,)),0,VLOOKUP((CONCATENATE("Hi-Stepper-",I247,"-",Input!M247)),points11,2,))</f>
        <v>0</v>
      </c>
      <c r="AB247">
        <f>IF(ISNA(VLOOKUP((CONCATENATE("Chest Push-",I247,"-",Input!N247)),points11,2,)),0,VLOOKUP((CONCATENATE("Chest Push-",I247,"-",Input!N247)),points11,2,))</f>
        <v>0</v>
      </c>
      <c r="AC247">
        <f>IF(ISNA(VLOOKUP((CONCATENATE("Javelin Throw-",I247,"-",Input!O247)),points11,2,)),0,VLOOKUP((CONCATENATE("Javelin Throw-",I247,"-",Input!O247)),points11,2,))</f>
        <v>0</v>
      </c>
      <c r="AD247">
        <f t="shared" si="42"/>
        <v>0</v>
      </c>
      <c r="AE247" t="str">
        <f t="shared" si="43"/>
        <v xml:space="preserve"> </v>
      </c>
      <c r="AF247">
        <f t="shared" si="44"/>
        <v>0</v>
      </c>
    </row>
    <row r="248" spans="2:32" ht="15" thickBot="1" x14ac:dyDescent="0.4">
      <c r="B248" s="631"/>
      <c r="C248" s="520">
        <v>10</v>
      </c>
      <c r="D248" s="289">
        <v>20</v>
      </c>
      <c r="E248" s="387"/>
      <c r="F248" s="362"/>
      <c r="G248" s="388"/>
      <c r="H248" s="388"/>
      <c r="I248" s="388"/>
      <c r="J248" s="393"/>
      <c r="K248" s="388"/>
      <c r="L248" s="388"/>
      <c r="M248" s="388"/>
      <c r="N248" s="388"/>
      <c r="O248" s="503"/>
      <c r="P248" s="509">
        <f t="shared" si="34"/>
        <v>0</v>
      </c>
      <c r="Q248" s="445">
        <f t="shared" si="35"/>
        <v>0</v>
      </c>
      <c r="R248" s="445">
        <f t="shared" si="36"/>
        <v>0</v>
      </c>
      <c r="S248" s="445">
        <f t="shared" si="37"/>
        <v>0</v>
      </c>
      <c r="T248" s="445">
        <f t="shared" si="38"/>
        <v>0</v>
      </c>
      <c r="U248" s="445">
        <f t="shared" si="39"/>
        <v>0</v>
      </c>
      <c r="V248" s="445">
        <f t="shared" si="40"/>
        <v>0</v>
      </c>
      <c r="W248" s="446">
        <f t="shared" si="41"/>
        <v>0</v>
      </c>
      <c r="X248">
        <f>IF(ISNA(VLOOKUP((CONCATENATE("Standing Long Jump-",I248,"-",Input!J248)),points11,2,)),0,VLOOKUP((CONCATENATE("Standing Long Jump-",I248,"-",Input!J248)),points11,2,))</f>
        <v>0</v>
      </c>
      <c r="Y248">
        <f>IF(ISNA(VLOOKUP((CONCATENATE("Speed Bounce-",I248,"-",Input!K248)),points11,2,)),0,VLOOKUP((CONCATENATE("Speed Bounce-",I248,"-",Input!K248)),points11,2,))</f>
        <v>0</v>
      </c>
      <c r="Z248">
        <f>IF(ISNA(VLOOKUP((CONCATENATE("Target Throw-",I248,"-",Input!L248)),points11,2,)),0,VLOOKUP((CONCATENATE("Target Throw-",I248,"-",Input!L248)),points11,2,))</f>
        <v>0</v>
      </c>
      <c r="AA248">
        <f>IF(ISNA(VLOOKUP((CONCATENATE("Hi-Stepper-",I248,"-",Input!M248)),points11,2,)),0,VLOOKUP((CONCATENATE("Hi-Stepper-",I248,"-",Input!M248)),points11,2,))</f>
        <v>0</v>
      </c>
      <c r="AB248">
        <f>IF(ISNA(VLOOKUP((CONCATENATE("Chest Push-",I248,"-",Input!N248)),points11,2,)),0,VLOOKUP((CONCATENATE("Chest Push-",I248,"-",Input!N248)),points11,2,))</f>
        <v>0</v>
      </c>
      <c r="AC248">
        <f>IF(ISNA(VLOOKUP((CONCATENATE("Javelin Throw-",I248,"-",Input!O248)),points11,2,)),0,VLOOKUP((CONCATENATE("Javelin Throw-",I248,"-",Input!O248)),points11,2,))</f>
        <v>0</v>
      </c>
      <c r="AD248">
        <f t="shared" si="42"/>
        <v>0</v>
      </c>
      <c r="AE248" t="str">
        <f t="shared" si="43"/>
        <v xml:space="preserve"> </v>
      </c>
      <c r="AF248">
        <f t="shared" si="44"/>
        <v>0</v>
      </c>
    </row>
    <row r="249" spans="2:32" ht="15" thickBot="1" x14ac:dyDescent="0.4">
      <c r="B249" s="631"/>
      <c r="C249" s="520">
        <v>11</v>
      </c>
      <c r="D249" s="289">
        <v>20</v>
      </c>
      <c r="E249" s="387"/>
      <c r="F249" s="362"/>
      <c r="G249" s="388"/>
      <c r="H249" s="388"/>
      <c r="I249" s="388"/>
      <c r="J249" s="393"/>
      <c r="K249" s="388"/>
      <c r="L249" s="388"/>
      <c r="M249" s="388"/>
      <c r="N249" s="388"/>
      <c r="O249" s="503"/>
      <c r="P249" s="509">
        <f t="shared" ref="P249:U250" si="45">IF(X249=0,0,X249)</f>
        <v>0</v>
      </c>
      <c r="Q249" s="445">
        <f t="shared" si="45"/>
        <v>0</v>
      </c>
      <c r="R249" s="445">
        <f t="shared" si="45"/>
        <v>0</v>
      </c>
      <c r="S249" s="445">
        <f t="shared" si="45"/>
        <v>0</v>
      </c>
      <c r="T249" s="445">
        <f t="shared" si="45"/>
        <v>0</v>
      </c>
      <c r="U249" s="445">
        <f t="shared" si="45"/>
        <v>0</v>
      </c>
      <c r="V249" s="445">
        <f>IF(AD249=0,0,AD249)</f>
        <v>0</v>
      </c>
      <c r="W249" s="446">
        <f>IF(AF249=0,0,AF249)</f>
        <v>0</v>
      </c>
      <c r="X249">
        <f>IF(ISNA(VLOOKUP((CONCATENATE("Standing Long Jump-",I249,"-",Input!J249)),points11,2,)),0,VLOOKUP((CONCATENATE("Standing Long Jump-",I249,"-",Input!J249)),points11,2,))</f>
        <v>0</v>
      </c>
      <c r="Y249">
        <f>IF(ISNA(VLOOKUP((CONCATENATE("Speed Bounce-",I249,"-",Input!K249)),points11,2,)),0,VLOOKUP((CONCATENATE("Speed Bounce-",I249,"-",Input!K249)),points11,2,))</f>
        <v>0</v>
      </c>
      <c r="Z249">
        <f>IF(ISNA(VLOOKUP((CONCATENATE("Target Throw-",I249,"-",Input!L249)),points11,2,)),0,VLOOKUP((CONCATENATE("Target Throw-",I249,"-",Input!L249)),points11,2,))</f>
        <v>0</v>
      </c>
      <c r="AA249">
        <f>IF(ISNA(VLOOKUP((CONCATENATE("Hi-Stepper-",I249,"-",Input!M249)),points11,2,)),0,VLOOKUP((CONCATENATE("Hi-Stepper-",I249,"-",Input!M249)),points11,2,))</f>
        <v>0</v>
      </c>
      <c r="AB249">
        <f>IF(ISNA(VLOOKUP((CONCATENATE("Chest Push-",I249,"-",Input!N249)),points11,2,)),0,VLOOKUP((CONCATENATE("Chest Push-",I249,"-",Input!N249)),points11,2,))</f>
        <v>0</v>
      </c>
      <c r="AC249">
        <f>IF(ISNA(VLOOKUP((CONCATENATE("Javelin Throw-",I249,"-",Input!O249)),points11,2,)),0,VLOOKUP((CONCATENATE("Javelin Throw-",I249,"-",Input!O249)),points11,2,))</f>
        <v>0</v>
      </c>
      <c r="AD249">
        <f>IF(I249&lt;3,SUM(Y249:AC249),IF(I249&gt;2,LARGE(X249:AC249,1)+LARGE(X249:AC249,2)+LARGE(X249:AC249,3)+LARGE(X249:AC249,4)+LARGE(X249:AC249,5)," "))</f>
        <v>0</v>
      </c>
      <c r="AE249" t="str">
        <f>IF(F249=0," ",IF(F249&lt;7,"P",IF(F249&gt;6,"S"," ")))</f>
        <v xml:space="preserve"> </v>
      </c>
      <c r="AF249">
        <f t="shared" si="44"/>
        <v>0</v>
      </c>
    </row>
    <row r="250" spans="2:32" ht="15" thickBot="1" x14ac:dyDescent="0.4">
      <c r="B250" s="637"/>
      <c r="C250" s="521">
        <v>12</v>
      </c>
      <c r="D250" s="289">
        <v>20</v>
      </c>
      <c r="E250" s="394"/>
      <c r="F250" s="395"/>
      <c r="G250" s="396"/>
      <c r="H250" s="396"/>
      <c r="I250" s="396"/>
      <c r="J250" s="397"/>
      <c r="K250" s="396"/>
      <c r="L250" s="396"/>
      <c r="M250" s="396"/>
      <c r="N250" s="396"/>
      <c r="O250" s="506"/>
      <c r="P250" s="510">
        <f t="shared" si="45"/>
        <v>0</v>
      </c>
      <c r="Q250" s="447">
        <f t="shared" si="45"/>
        <v>0</v>
      </c>
      <c r="R250" s="447">
        <f t="shared" si="45"/>
        <v>0</v>
      </c>
      <c r="S250" s="447">
        <f t="shared" si="45"/>
        <v>0</v>
      </c>
      <c r="T250" s="447">
        <f t="shared" si="45"/>
        <v>0</v>
      </c>
      <c r="U250" s="447">
        <f t="shared" si="45"/>
        <v>0</v>
      </c>
      <c r="V250" s="447">
        <f>IF(AD250=0,0,AD250)</f>
        <v>0</v>
      </c>
      <c r="W250" s="448">
        <f>IF(AF250=0,0,AF250)</f>
        <v>0</v>
      </c>
      <c r="X250">
        <f>IF(ISNA(VLOOKUP((CONCATENATE("Standing Long Jump-",I250,"-",Input!J250)),points11,2,)),0,VLOOKUP((CONCATENATE("Standing Long Jump-",I250,"-",Input!J250)),points11,2,))</f>
        <v>0</v>
      </c>
      <c r="Y250">
        <f>IF(ISNA(VLOOKUP((CONCATENATE("Speed Bounce-",I250,"-",Input!K250)),points11,2,)),0,VLOOKUP((CONCATENATE("Speed Bounce-",I250,"-",Input!K250)),points11,2,))</f>
        <v>0</v>
      </c>
      <c r="Z250">
        <f>IF(ISNA(VLOOKUP((CONCATENATE("Target Throw-",I250,"-",Input!L250)),points11,2,)),0,VLOOKUP((CONCATENATE("Target Throw-",I250,"-",Input!L250)),points11,2,))</f>
        <v>0</v>
      </c>
      <c r="AA250">
        <f>IF(ISNA(VLOOKUP((CONCATENATE("Hi-Stepper-",I250,"-",Input!M250)),points11,2,)),0,VLOOKUP((CONCATENATE("Hi-Stepper-",I250,"-",Input!M250)),points11,2,))</f>
        <v>0</v>
      </c>
      <c r="AB250">
        <f>IF(ISNA(VLOOKUP((CONCATENATE("Chest Push-",I250,"-",Input!N250)),points11,2,)),0,VLOOKUP((CONCATENATE("Chest Push-",I250,"-",Input!N250)),points11,2,))</f>
        <v>0</v>
      </c>
      <c r="AC250">
        <f>IF(ISNA(VLOOKUP((CONCATENATE("Javelin Throw-",I250,"-",Input!O250)),points11,2,)),0,VLOOKUP((CONCATENATE("Javelin Throw-",I250,"-",Input!O250)),points11,2,))</f>
        <v>0</v>
      </c>
      <c r="AD250">
        <f>IF(I250&lt;3,SUM(Y250:AC250),IF(I250&gt;2,LARGE(X250:AC250,1)+LARGE(X250:AC250,2)+LARGE(X250:AC250,3)+LARGE(X250:AC250,4)+LARGE(X250:AC250,5)," "))</f>
        <v>0</v>
      </c>
      <c r="AE250" t="str">
        <f>IF(F250=0," ",IF(F250&lt;7,"P",IF(F250&gt;6,"S"," ")))</f>
        <v xml:space="preserve"> </v>
      </c>
      <c r="AF250">
        <f t="shared" si="44"/>
        <v>0</v>
      </c>
    </row>
    <row r="251" spans="2:32" ht="14.5" x14ac:dyDescent="0.35">
      <c r="B251" s="97"/>
      <c r="C251" s="98"/>
      <c r="D251" s="99"/>
      <c r="E251" s="100"/>
      <c r="F251" s="102"/>
      <c r="G251" s="103"/>
      <c r="H251" s="103"/>
      <c r="I251" s="103"/>
      <c r="J251" s="104"/>
      <c r="K251" s="103"/>
      <c r="L251" s="103"/>
      <c r="M251" s="103"/>
      <c r="N251" s="103"/>
      <c r="O251" s="103"/>
      <c r="P251" s="103"/>
      <c r="Q251" s="103"/>
    </row>
    <row r="252" spans="2:32" ht="14.5" x14ac:dyDescent="0.35">
      <c r="D252" s="101"/>
      <c r="E252" s="100"/>
      <c r="F252" s="102"/>
      <c r="G252" s="103"/>
      <c r="H252" s="103"/>
      <c r="I252" s="103"/>
      <c r="J252" s="104"/>
      <c r="K252" s="103"/>
      <c r="L252" s="103"/>
      <c r="M252" s="103"/>
      <c r="N252" s="103"/>
      <c r="O252" s="103"/>
      <c r="P252" s="103"/>
      <c r="Q252" s="103"/>
    </row>
    <row r="253" spans="2:32" ht="14.5" x14ac:dyDescent="0.35">
      <c r="D253" s="101"/>
      <c r="E253" s="100"/>
      <c r="F253" s="102"/>
      <c r="G253" s="103"/>
      <c r="H253" s="103"/>
      <c r="I253" s="103"/>
      <c r="J253" s="104"/>
      <c r="K253" s="103"/>
      <c r="L253" s="103"/>
      <c r="M253" s="103"/>
      <c r="N253" s="103"/>
      <c r="O253" s="103"/>
      <c r="P253" s="103"/>
      <c r="Q253" s="103"/>
    </row>
    <row r="254" spans="2:32" ht="14.5" x14ac:dyDescent="0.35">
      <c r="D254" s="101"/>
      <c r="E254" s="100"/>
      <c r="F254" s="102"/>
      <c r="G254" s="103"/>
      <c r="H254" s="103"/>
      <c r="I254" s="103"/>
      <c r="J254" s="104"/>
      <c r="K254" s="103"/>
      <c r="L254" s="103"/>
      <c r="M254" s="103"/>
      <c r="N254" s="103"/>
      <c r="O254" s="103"/>
      <c r="P254" s="103"/>
      <c r="Q254" s="103"/>
    </row>
    <row r="255" spans="2:32" ht="14.5" x14ac:dyDescent="0.35">
      <c r="D255" s="101"/>
      <c r="E255" s="100"/>
      <c r="F255" s="102"/>
      <c r="G255" s="103"/>
      <c r="H255" s="103"/>
      <c r="I255" s="103"/>
      <c r="J255" s="104"/>
      <c r="K255" s="103"/>
      <c r="L255" s="103"/>
      <c r="M255" s="103"/>
      <c r="N255" s="103"/>
      <c r="O255" s="103"/>
      <c r="P255" s="103"/>
      <c r="Q255" s="103"/>
    </row>
    <row r="256" spans="2:32" ht="14.5" x14ac:dyDescent="0.35">
      <c r="D256" s="101"/>
      <c r="E256" s="100"/>
      <c r="F256" s="102"/>
      <c r="G256" s="103"/>
      <c r="H256" s="103"/>
      <c r="I256" s="103"/>
      <c r="J256" s="104"/>
      <c r="K256" s="103"/>
      <c r="L256" s="103"/>
      <c r="M256" s="103"/>
      <c r="N256" s="103"/>
      <c r="O256" s="103"/>
      <c r="P256" s="103"/>
      <c r="Q256" s="103"/>
    </row>
    <row r="257" spans="4:17" ht="14.5" x14ac:dyDescent="0.35">
      <c r="D257" s="101"/>
      <c r="E257" s="100"/>
      <c r="F257" s="102"/>
      <c r="G257" s="103"/>
      <c r="H257" s="103"/>
      <c r="I257" s="103"/>
      <c r="J257" s="104"/>
      <c r="K257" s="103"/>
      <c r="L257" s="103"/>
      <c r="M257" s="103"/>
      <c r="N257" s="103"/>
      <c r="O257" s="103"/>
      <c r="P257" s="103"/>
      <c r="Q257" s="103"/>
    </row>
    <row r="258" spans="4:17" ht="14.5" x14ac:dyDescent="0.35">
      <c r="D258" s="101"/>
      <c r="E258" s="100"/>
      <c r="F258" s="102"/>
      <c r="G258" s="103"/>
      <c r="H258" s="103"/>
      <c r="I258" s="103"/>
      <c r="J258" s="104"/>
      <c r="K258" s="103"/>
      <c r="L258" s="103"/>
      <c r="M258" s="103"/>
      <c r="N258" s="103"/>
      <c r="O258" s="103"/>
      <c r="P258" s="103"/>
      <c r="Q258" s="103"/>
    </row>
    <row r="259" spans="4:17" ht="14.5" x14ac:dyDescent="0.35">
      <c r="D259" s="101"/>
      <c r="E259" s="100"/>
      <c r="F259" s="102"/>
      <c r="G259" s="103"/>
      <c r="H259" s="103"/>
      <c r="I259" s="103"/>
      <c r="J259" s="104"/>
      <c r="K259" s="103"/>
      <c r="L259" s="103"/>
      <c r="M259" s="103"/>
      <c r="N259" s="103"/>
      <c r="O259" s="103"/>
      <c r="P259" s="103"/>
      <c r="Q259" s="103"/>
    </row>
    <row r="260" spans="4:17" ht="14.5" x14ac:dyDescent="0.35">
      <c r="D260" s="101"/>
      <c r="E260" s="100"/>
      <c r="F260" s="102"/>
      <c r="G260" s="103"/>
      <c r="H260" s="103"/>
      <c r="I260" s="103"/>
      <c r="J260" s="104"/>
      <c r="K260" s="103"/>
      <c r="L260" s="103"/>
      <c r="M260" s="103"/>
      <c r="N260" s="103"/>
      <c r="O260" s="103"/>
      <c r="P260" s="103"/>
      <c r="Q260" s="103"/>
    </row>
    <row r="261" spans="4:17" ht="14.5" x14ac:dyDescent="0.35">
      <c r="D261" s="101"/>
      <c r="E261" s="100"/>
      <c r="F261" s="102"/>
      <c r="G261" s="103"/>
      <c r="H261" s="103"/>
      <c r="I261" s="103"/>
      <c r="J261" s="104"/>
      <c r="K261" s="103"/>
      <c r="L261" s="103"/>
      <c r="M261" s="103"/>
      <c r="N261" s="103"/>
      <c r="O261" s="103"/>
      <c r="P261" s="103"/>
      <c r="Q261" s="103"/>
    </row>
    <row r="262" spans="4:17" ht="14.5" x14ac:dyDescent="0.35">
      <c r="D262" s="101"/>
      <c r="E262" s="100"/>
      <c r="F262" s="102"/>
      <c r="G262" s="103"/>
      <c r="H262" s="103"/>
      <c r="I262" s="103"/>
      <c r="J262" s="104"/>
      <c r="K262" s="103"/>
      <c r="L262" s="103"/>
      <c r="M262" s="103"/>
      <c r="N262" s="103"/>
      <c r="O262" s="103"/>
      <c r="P262" s="103"/>
      <c r="Q262" s="103"/>
    </row>
    <row r="263" spans="4:17" ht="14.5" x14ac:dyDescent="0.35">
      <c r="D263" s="101"/>
      <c r="E263" s="100"/>
      <c r="F263" s="102"/>
      <c r="G263" s="103"/>
      <c r="H263" s="103"/>
      <c r="I263" s="103"/>
      <c r="J263" s="104"/>
      <c r="K263" s="103"/>
      <c r="L263" s="103"/>
      <c r="M263" s="103"/>
      <c r="N263" s="103"/>
      <c r="O263" s="103"/>
      <c r="P263" s="103"/>
      <c r="Q263" s="103"/>
    </row>
    <row r="264" spans="4:17" ht="14.5" x14ac:dyDescent="0.35">
      <c r="D264" s="101"/>
      <c r="E264" s="100"/>
      <c r="F264" s="102"/>
      <c r="G264" s="103"/>
      <c r="H264" s="103"/>
      <c r="I264" s="103"/>
      <c r="J264" s="104"/>
      <c r="K264" s="103"/>
      <c r="L264" s="103"/>
      <c r="M264" s="103"/>
      <c r="N264" s="103"/>
      <c r="O264" s="103"/>
      <c r="P264" s="103"/>
      <c r="Q264" s="103"/>
    </row>
    <row r="265" spans="4:17" ht="14.5" x14ac:dyDescent="0.35">
      <c r="D265" s="101"/>
      <c r="E265" s="100"/>
      <c r="F265" s="102"/>
      <c r="G265" s="103"/>
      <c r="H265" s="103"/>
      <c r="I265" s="103"/>
      <c r="J265" s="104"/>
      <c r="K265" s="103"/>
      <c r="L265" s="103"/>
      <c r="M265" s="103"/>
      <c r="N265" s="103"/>
      <c r="O265" s="103"/>
      <c r="P265" s="103"/>
      <c r="Q265" s="103"/>
    </row>
    <row r="266" spans="4:17" ht="14.5" x14ac:dyDescent="0.35">
      <c r="D266" s="101"/>
      <c r="E266" s="100"/>
      <c r="F266" s="102"/>
      <c r="G266" s="103"/>
      <c r="H266" s="103"/>
      <c r="I266" s="103"/>
      <c r="J266" s="104"/>
      <c r="K266" s="103"/>
      <c r="L266" s="103"/>
      <c r="M266" s="103"/>
      <c r="N266" s="103"/>
      <c r="O266" s="103"/>
      <c r="P266" s="103"/>
      <c r="Q266" s="103"/>
    </row>
    <row r="267" spans="4:17" ht="14.5" x14ac:dyDescent="0.35">
      <c r="D267" s="101"/>
      <c r="E267" s="100"/>
      <c r="F267" s="102"/>
      <c r="G267" s="103"/>
      <c r="H267" s="103"/>
      <c r="I267" s="103"/>
      <c r="J267" s="104"/>
      <c r="K267" s="103"/>
      <c r="L267" s="103"/>
      <c r="M267" s="103"/>
      <c r="N267" s="103"/>
      <c r="O267" s="103"/>
      <c r="P267" s="103"/>
      <c r="Q267" s="103"/>
    </row>
    <row r="268" spans="4:17" ht="14.5" x14ac:dyDescent="0.35">
      <c r="D268" s="101"/>
      <c r="E268" s="100"/>
      <c r="F268" s="102"/>
      <c r="G268" s="103"/>
      <c r="H268" s="103"/>
      <c r="I268" s="103"/>
      <c r="J268" s="104"/>
      <c r="K268" s="103"/>
      <c r="L268" s="103"/>
      <c r="M268" s="103"/>
      <c r="N268" s="103"/>
      <c r="O268" s="103"/>
      <c r="P268" s="103"/>
      <c r="Q268" s="103"/>
    </row>
    <row r="269" spans="4:17" ht="14.5" x14ac:dyDescent="0.35">
      <c r="D269" s="101"/>
      <c r="E269" s="100"/>
      <c r="F269" s="102"/>
      <c r="G269" s="103"/>
      <c r="H269" s="103"/>
      <c r="I269" s="103"/>
      <c r="J269" s="104"/>
      <c r="K269" s="103"/>
      <c r="L269" s="103"/>
      <c r="M269" s="103"/>
      <c r="N269" s="103"/>
      <c r="O269" s="103"/>
      <c r="P269" s="103"/>
      <c r="Q269" s="103"/>
    </row>
    <row r="270" spans="4:17" ht="14.5" x14ac:dyDescent="0.35">
      <c r="D270" s="101"/>
      <c r="E270" s="100"/>
      <c r="F270" s="102"/>
      <c r="G270" s="103"/>
      <c r="H270" s="103"/>
      <c r="I270" s="103"/>
      <c r="J270" s="104"/>
      <c r="K270" s="103"/>
      <c r="L270" s="103"/>
      <c r="M270" s="103"/>
      <c r="N270" s="103"/>
      <c r="O270" s="103"/>
      <c r="P270" s="103"/>
      <c r="Q270" s="103"/>
    </row>
    <row r="271" spans="4:17" ht="14.5" x14ac:dyDescent="0.35">
      <c r="D271" s="101"/>
      <c r="E271" s="100"/>
      <c r="F271" s="102"/>
      <c r="G271" s="103"/>
      <c r="H271" s="103"/>
      <c r="I271" s="103"/>
      <c r="J271" s="104"/>
      <c r="K271" s="103"/>
      <c r="L271" s="103"/>
      <c r="M271" s="103"/>
      <c r="N271" s="103"/>
      <c r="O271" s="103"/>
      <c r="P271" s="103"/>
      <c r="Q271" s="103"/>
    </row>
    <row r="272" spans="4:17" ht="14.5" x14ac:dyDescent="0.35">
      <c r="D272" s="101"/>
      <c r="E272" s="100"/>
      <c r="F272" s="102"/>
      <c r="G272" s="103"/>
      <c r="H272" s="103"/>
      <c r="I272" s="103"/>
      <c r="J272" s="104"/>
      <c r="K272" s="103"/>
      <c r="L272" s="103"/>
      <c r="M272" s="103"/>
      <c r="N272" s="103"/>
      <c r="O272" s="103"/>
      <c r="P272" s="103"/>
      <c r="Q272" s="103"/>
    </row>
    <row r="273" spans="4:17" ht="14.5" x14ac:dyDescent="0.35">
      <c r="D273" s="101"/>
      <c r="E273" s="100"/>
      <c r="F273" s="102"/>
      <c r="G273" s="103"/>
      <c r="H273" s="103"/>
      <c r="I273" s="103"/>
      <c r="J273" s="104"/>
      <c r="K273" s="103"/>
      <c r="L273" s="103"/>
      <c r="M273" s="103"/>
      <c r="N273" s="103"/>
      <c r="O273" s="103"/>
      <c r="P273" s="103"/>
      <c r="Q273" s="103"/>
    </row>
    <row r="274" spans="4:17" ht="14.5" x14ac:dyDescent="0.35">
      <c r="D274" s="101"/>
      <c r="E274" s="100"/>
      <c r="F274" s="102"/>
      <c r="G274" s="103"/>
      <c r="H274" s="103"/>
      <c r="I274" s="103"/>
      <c r="J274" s="104"/>
      <c r="K274" s="103"/>
      <c r="L274" s="103"/>
      <c r="M274" s="103"/>
      <c r="N274" s="103"/>
      <c r="O274" s="103"/>
      <c r="P274" s="103"/>
      <c r="Q274" s="103"/>
    </row>
    <row r="275" spans="4:17" ht="14.5" x14ac:dyDescent="0.35">
      <c r="D275" s="101"/>
      <c r="E275" s="100"/>
      <c r="F275" s="102"/>
      <c r="G275" s="103"/>
      <c r="H275" s="103"/>
      <c r="I275" s="103"/>
      <c r="J275" s="104"/>
      <c r="K275" s="103"/>
      <c r="L275" s="103"/>
      <c r="M275" s="103"/>
      <c r="N275" s="103"/>
      <c r="O275" s="103"/>
      <c r="P275" s="103"/>
      <c r="Q275" s="103"/>
    </row>
    <row r="276" spans="4:17" ht="14.5" x14ac:dyDescent="0.35">
      <c r="D276" s="101"/>
      <c r="E276" s="100"/>
      <c r="F276" s="102"/>
      <c r="G276" s="103"/>
      <c r="H276" s="103"/>
      <c r="I276" s="103"/>
      <c r="J276" s="104"/>
      <c r="K276" s="103"/>
      <c r="L276" s="103"/>
      <c r="M276" s="103"/>
      <c r="N276" s="103"/>
      <c r="O276" s="103"/>
      <c r="P276" s="103"/>
      <c r="Q276" s="103"/>
    </row>
    <row r="277" spans="4:17" ht="14.5" x14ac:dyDescent="0.35">
      <c r="D277" s="101"/>
      <c r="E277" s="100"/>
      <c r="F277" s="102"/>
      <c r="G277" s="103"/>
      <c r="H277" s="103"/>
      <c r="I277" s="103"/>
      <c r="J277" s="104"/>
      <c r="K277" s="103"/>
      <c r="L277" s="103"/>
      <c r="M277" s="103"/>
      <c r="N277" s="103"/>
      <c r="O277" s="103"/>
      <c r="P277" s="103"/>
      <c r="Q277" s="103"/>
    </row>
    <row r="278" spans="4:17" ht="14.5" x14ac:dyDescent="0.35">
      <c r="D278" s="101"/>
      <c r="E278" s="100"/>
      <c r="F278" s="102"/>
      <c r="G278" s="103"/>
      <c r="H278" s="103"/>
      <c r="I278" s="103"/>
      <c r="J278" s="104"/>
      <c r="K278" s="103"/>
      <c r="L278" s="103"/>
      <c r="M278" s="103"/>
      <c r="N278" s="103"/>
      <c r="O278" s="103"/>
      <c r="P278" s="103"/>
      <c r="Q278" s="103"/>
    </row>
    <row r="279" spans="4:17" ht="14.5" x14ac:dyDescent="0.35">
      <c r="D279" s="101"/>
      <c r="E279" s="100"/>
      <c r="F279" s="102"/>
      <c r="G279" s="103"/>
      <c r="H279" s="103"/>
      <c r="I279" s="103"/>
      <c r="J279" s="104"/>
      <c r="K279" s="103"/>
      <c r="L279" s="103"/>
      <c r="M279" s="103"/>
      <c r="N279" s="103"/>
      <c r="O279" s="103"/>
      <c r="P279" s="103"/>
      <c r="Q279" s="103"/>
    </row>
    <row r="280" spans="4:17" ht="14.5" x14ac:dyDescent="0.35">
      <c r="D280" s="101"/>
      <c r="E280" s="100"/>
      <c r="F280" s="102"/>
      <c r="G280" s="103"/>
      <c r="H280" s="103"/>
      <c r="I280" s="103"/>
      <c r="J280" s="104"/>
      <c r="K280" s="103"/>
      <c r="L280" s="103"/>
      <c r="M280" s="103"/>
      <c r="N280" s="103"/>
      <c r="O280" s="103"/>
      <c r="P280" s="103"/>
      <c r="Q280" s="103"/>
    </row>
    <row r="281" spans="4:17" ht="14.5" x14ac:dyDescent="0.35">
      <c r="D281" s="101"/>
      <c r="E281" s="100"/>
      <c r="F281" s="102"/>
      <c r="G281" s="103"/>
      <c r="H281" s="103"/>
      <c r="I281" s="103"/>
      <c r="J281" s="104"/>
      <c r="K281" s="103"/>
      <c r="L281" s="103"/>
      <c r="M281" s="103"/>
      <c r="N281" s="103"/>
      <c r="O281" s="103"/>
      <c r="P281" s="103"/>
      <c r="Q281" s="103"/>
    </row>
    <row r="282" spans="4:17" ht="14.5" x14ac:dyDescent="0.35">
      <c r="D282" s="101"/>
      <c r="E282" s="100"/>
      <c r="F282" s="102"/>
      <c r="G282" s="103"/>
      <c r="H282" s="103"/>
      <c r="I282" s="103"/>
      <c r="J282" s="104"/>
      <c r="K282" s="103"/>
      <c r="L282" s="103"/>
      <c r="M282" s="103"/>
      <c r="N282" s="103"/>
      <c r="O282" s="103"/>
      <c r="P282" s="103"/>
      <c r="Q282" s="103"/>
    </row>
    <row r="283" spans="4:17" ht="14.5" x14ac:dyDescent="0.35">
      <c r="D283" s="101"/>
      <c r="E283" s="100"/>
      <c r="F283" s="102"/>
      <c r="G283" s="103"/>
      <c r="H283" s="103"/>
      <c r="I283" s="103"/>
      <c r="J283" s="104"/>
      <c r="K283" s="103"/>
      <c r="L283" s="103"/>
      <c r="M283" s="103"/>
      <c r="N283" s="103"/>
      <c r="O283" s="103"/>
      <c r="P283" s="103"/>
      <c r="Q283" s="103"/>
    </row>
    <row r="284" spans="4:17" ht="14.5" x14ac:dyDescent="0.35">
      <c r="D284" s="101"/>
      <c r="E284" s="100"/>
      <c r="F284" s="102"/>
      <c r="G284" s="103"/>
      <c r="H284" s="103"/>
      <c r="I284" s="103"/>
      <c r="J284" s="104"/>
      <c r="K284" s="103"/>
      <c r="L284" s="103"/>
      <c r="M284" s="103"/>
      <c r="N284" s="103"/>
      <c r="O284" s="103"/>
      <c r="P284" s="103"/>
      <c r="Q284" s="103"/>
    </row>
    <row r="285" spans="4:17" ht="14.5" x14ac:dyDescent="0.35">
      <c r="D285" s="101"/>
      <c r="E285" s="100"/>
      <c r="F285" s="102"/>
      <c r="G285" s="103"/>
      <c r="H285" s="103"/>
      <c r="I285" s="103"/>
      <c r="J285" s="104"/>
      <c r="K285" s="103"/>
      <c r="L285" s="103"/>
      <c r="M285" s="103"/>
      <c r="N285" s="103"/>
      <c r="O285" s="103"/>
      <c r="P285" s="103"/>
      <c r="Q285" s="103"/>
    </row>
    <row r="286" spans="4:17" x14ac:dyDescent="0.25">
      <c r="D286" s="106"/>
      <c r="E286" s="105"/>
      <c r="F286" s="102"/>
      <c r="G286" s="106"/>
      <c r="H286" s="106"/>
      <c r="I286" s="106"/>
      <c r="J286" s="108"/>
      <c r="K286" s="107"/>
      <c r="L286" s="107"/>
      <c r="M286" s="107"/>
      <c r="N286" s="109"/>
      <c r="O286" s="109"/>
      <c r="P286" s="109"/>
      <c r="Q286" s="109"/>
    </row>
    <row r="287" spans="4:17" x14ac:dyDescent="0.25">
      <c r="D287" s="106"/>
      <c r="E287" s="105"/>
      <c r="F287" s="102"/>
      <c r="G287" s="106"/>
      <c r="H287" s="106"/>
      <c r="I287" s="106"/>
      <c r="J287" s="108"/>
      <c r="K287" s="107"/>
      <c r="L287" s="107"/>
      <c r="M287" s="107"/>
      <c r="N287" s="109"/>
      <c r="O287" s="109"/>
      <c r="P287" s="109"/>
      <c r="Q287" s="109"/>
    </row>
    <row r="288" spans="4:17" x14ac:dyDescent="0.25">
      <c r="D288" s="106"/>
      <c r="E288" s="105"/>
      <c r="F288" s="102"/>
      <c r="G288" s="106"/>
      <c r="H288" s="106"/>
      <c r="I288" s="106"/>
      <c r="J288" s="108"/>
      <c r="K288" s="107"/>
      <c r="L288" s="107"/>
      <c r="M288" s="107"/>
      <c r="N288" s="109"/>
      <c r="O288" s="109"/>
      <c r="P288" s="109"/>
      <c r="Q288" s="109"/>
    </row>
    <row r="289" spans="4:17" x14ac:dyDescent="0.25">
      <c r="D289" s="106"/>
      <c r="E289" s="105"/>
      <c r="F289" s="102"/>
      <c r="G289" s="106"/>
      <c r="H289" s="106"/>
      <c r="I289" s="106"/>
      <c r="J289" s="108"/>
      <c r="K289" s="107"/>
      <c r="L289" s="107"/>
      <c r="M289" s="107"/>
      <c r="N289" s="109"/>
      <c r="O289" s="109"/>
      <c r="P289" s="109"/>
      <c r="Q289" s="109"/>
    </row>
    <row r="290" spans="4:17" x14ac:dyDescent="0.25">
      <c r="D290" s="106"/>
      <c r="E290" s="105"/>
      <c r="F290" s="102"/>
      <c r="G290" s="106"/>
      <c r="H290" s="106"/>
      <c r="I290" s="106"/>
      <c r="J290" s="108"/>
      <c r="K290" s="107"/>
      <c r="L290" s="107"/>
      <c r="M290" s="107"/>
      <c r="N290" s="109"/>
      <c r="O290" s="109"/>
      <c r="P290" s="109"/>
      <c r="Q290" s="109"/>
    </row>
    <row r="291" spans="4:17" x14ac:dyDescent="0.25">
      <c r="D291" s="106"/>
      <c r="E291" s="105"/>
      <c r="F291" s="102"/>
      <c r="G291" s="106"/>
      <c r="H291" s="106"/>
      <c r="I291" s="106"/>
      <c r="J291" s="108"/>
      <c r="K291" s="107"/>
      <c r="L291" s="107"/>
      <c r="M291" s="107"/>
      <c r="N291" s="109"/>
      <c r="O291" s="109"/>
      <c r="P291" s="109"/>
      <c r="Q291" s="109"/>
    </row>
    <row r="292" spans="4:17" x14ac:dyDescent="0.25">
      <c r="D292" s="106"/>
      <c r="E292" s="110"/>
      <c r="F292" s="102"/>
      <c r="G292" s="111"/>
      <c r="H292" s="111"/>
      <c r="I292" s="111"/>
      <c r="J292" s="108"/>
      <c r="K292" s="107"/>
      <c r="L292" s="107"/>
      <c r="M292" s="107"/>
      <c r="N292" s="109"/>
      <c r="O292" s="109"/>
      <c r="P292" s="109"/>
      <c r="Q292" s="109"/>
    </row>
    <row r="293" spans="4:17" x14ac:dyDescent="0.25">
      <c r="D293" s="106"/>
      <c r="E293" s="112"/>
      <c r="F293" s="102"/>
      <c r="G293" s="106"/>
      <c r="H293" s="106"/>
      <c r="I293" s="106"/>
      <c r="J293" s="114"/>
      <c r="K293" s="115"/>
      <c r="L293" s="113"/>
      <c r="M293" s="115"/>
      <c r="N293" s="109"/>
      <c r="O293" s="109"/>
      <c r="P293" s="109"/>
      <c r="Q293" s="109"/>
    </row>
    <row r="294" spans="4:17" x14ac:dyDescent="0.25">
      <c r="D294" s="106"/>
      <c r="E294" s="112"/>
      <c r="F294" s="102"/>
      <c r="G294" s="106"/>
      <c r="H294" s="106"/>
      <c r="I294" s="106"/>
      <c r="J294" s="114"/>
      <c r="K294" s="115"/>
      <c r="L294" s="115"/>
      <c r="M294" s="115"/>
      <c r="N294" s="109"/>
      <c r="O294" s="109"/>
      <c r="P294" s="109"/>
      <c r="Q294" s="109"/>
    </row>
    <row r="295" spans="4:17" x14ac:dyDescent="0.25">
      <c r="D295" s="106"/>
      <c r="E295" s="112"/>
      <c r="F295" s="102"/>
      <c r="G295" s="106"/>
      <c r="H295" s="106"/>
      <c r="I295" s="106"/>
      <c r="J295" s="114"/>
      <c r="K295" s="115"/>
      <c r="L295" s="113"/>
      <c r="M295" s="115"/>
      <c r="N295" s="109"/>
      <c r="O295" s="109"/>
      <c r="P295" s="109"/>
      <c r="Q295" s="109"/>
    </row>
    <row r="296" spans="4:17" x14ac:dyDescent="0.25">
      <c r="D296" s="106"/>
      <c r="E296" s="112"/>
      <c r="F296" s="102"/>
      <c r="G296" s="106"/>
      <c r="H296" s="106"/>
      <c r="I296" s="106"/>
      <c r="J296" s="114"/>
      <c r="K296" s="115"/>
      <c r="L296" s="113"/>
      <c r="M296" s="115"/>
      <c r="N296" s="109"/>
      <c r="O296" s="109"/>
      <c r="P296" s="109"/>
      <c r="Q296" s="109"/>
    </row>
    <row r="297" spans="4:17" x14ac:dyDescent="0.25">
      <c r="D297" s="106"/>
      <c r="E297" s="112"/>
      <c r="F297" s="102"/>
      <c r="G297" s="106"/>
      <c r="H297" s="106"/>
      <c r="I297" s="106"/>
      <c r="J297" s="114"/>
      <c r="K297" s="115"/>
      <c r="L297" s="115"/>
      <c r="M297" s="115"/>
      <c r="N297" s="109"/>
      <c r="O297" s="109"/>
      <c r="P297" s="109"/>
      <c r="Q297" s="109"/>
    </row>
    <row r="298" spans="4:17" x14ac:dyDescent="0.25">
      <c r="D298" s="106"/>
      <c r="E298" s="112"/>
      <c r="F298" s="102"/>
      <c r="G298" s="106"/>
      <c r="H298" s="106"/>
      <c r="I298" s="106"/>
      <c r="J298" s="114"/>
      <c r="K298" s="115"/>
      <c r="L298" s="113"/>
      <c r="M298" s="115"/>
      <c r="N298" s="109"/>
      <c r="O298" s="109"/>
      <c r="P298" s="109"/>
      <c r="Q298" s="109"/>
    </row>
    <row r="299" spans="4:17" x14ac:dyDescent="0.25">
      <c r="D299" s="106"/>
      <c r="E299" s="116"/>
      <c r="F299" s="102"/>
      <c r="G299" s="117"/>
      <c r="H299" s="117"/>
      <c r="I299" s="117"/>
      <c r="J299" s="119"/>
      <c r="K299" s="118"/>
      <c r="L299" s="118"/>
      <c r="M299" s="118"/>
      <c r="N299" s="120"/>
      <c r="O299" s="120"/>
      <c r="P299" s="120"/>
      <c r="Q299" s="120"/>
    </row>
    <row r="300" spans="4:17" x14ac:dyDescent="0.25">
      <c r="D300" s="106"/>
      <c r="E300" s="121"/>
      <c r="F300" s="102"/>
      <c r="G300" s="122"/>
      <c r="H300" s="122"/>
      <c r="I300" s="122"/>
      <c r="J300" s="124"/>
      <c r="K300" s="125"/>
      <c r="L300" s="123"/>
      <c r="M300" s="125"/>
      <c r="N300" s="120"/>
      <c r="O300" s="120"/>
      <c r="P300" s="120"/>
      <c r="Q300" s="120"/>
    </row>
    <row r="301" spans="4:17" x14ac:dyDescent="0.25">
      <c r="D301" s="106"/>
      <c r="E301" s="121"/>
      <c r="F301" s="102"/>
      <c r="G301" s="122"/>
      <c r="H301" s="122"/>
      <c r="I301" s="122"/>
      <c r="J301" s="124"/>
      <c r="K301" s="125"/>
      <c r="L301" s="123"/>
      <c r="M301" s="125"/>
      <c r="N301" s="120"/>
      <c r="O301" s="120"/>
      <c r="P301" s="120"/>
      <c r="Q301" s="120"/>
    </row>
    <row r="302" spans="4:17" x14ac:dyDescent="0.25">
      <c r="D302" s="106"/>
      <c r="E302" s="121"/>
      <c r="F302" s="102"/>
      <c r="G302" s="122"/>
      <c r="H302" s="122"/>
      <c r="I302" s="122"/>
      <c r="J302" s="124"/>
      <c r="K302" s="125"/>
      <c r="L302" s="125"/>
      <c r="M302" s="125"/>
      <c r="N302" s="120"/>
      <c r="O302" s="120"/>
      <c r="P302" s="120"/>
      <c r="Q302" s="120"/>
    </row>
    <row r="303" spans="4:17" x14ac:dyDescent="0.25">
      <c r="D303" s="106"/>
      <c r="E303" s="121"/>
      <c r="F303" s="102"/>
      <c r="G303" s="122"/>
      <c r="H303" s="122"/>
      <c r="I303" s="122"/>
      <c r="J303" s="124"/>
      <c r="K303" s="125"/>
      <c r="L303" s="123"/>
      <c r="M303" s="125"/>
      <c r="N303" s="120"/>
      <c r="O303" s="120"/>
      <c r="P303" s="120"/>
      <c r="Q303" s="120"/>
    </row>
    <row r="304" spans="4:17" x14ac:dyDescent="0.25">
      <c r="D304" s="106"/>
      <c r="E304" s="116"/>
      <c r="F304" s="102"/>
      <c r="G304" s="122"/>
      <c r="H304" s="122"/>
      <c r="I304" s="122"/>
      <c r="J304" s="119"/>
      <c r="K304" s="118"/>
      <c r="L304" s="118"/>
      <c r="M304" s="118"/>
      <c r="N304" s="120"/>
      <c r="O304" s="120"/>
      <c r="P304" s="120"/>
      <c r="Q304" s="120"/>
    </row>
    <row r="305" spans="4:17" x14ac:dyDescent="0.25">
      <c r="D305" s="106"/>
      <c r="E305" s="116"/>
      <c r="F305" s="102"/>
      <c r="G305" s="122"/>
      <c r="H305" s="122"/>
      <c r="I305" s="122"/>
      <c r="J305" s="119"/>
      <c r="K305" s="118"/>
      <c r="L305" s="118"/>
      <c r="M305" s="118"/>
      <c r="N305" s="120"/>
      <c r="O305" s="120"/>
      <c r="P305" s="120"/>
      <c r="Q305" s="120"/>
    </row>
    <row r="306" spans="4:17" x14ac:dyDescent="0.25">
      <c r="D306" s="106"/>
      <c r="E306" s="116"/>
      <c r="F306" s="102"/>
      <c r="G306" s="122"/>
      <c r="H306" s="122"/>
      <c r="I306" s="122"/>
      <c r="J306" s="119"/>
      <c r="K306" s="118"/>
      <c r="L306" s="118"/>
      <c r="M306" s="118"/>
      <c r="N306" s="120"/>
      <c r="O306" s="120"/>
      <c r="P306" s="120"/>
      <c r="Q306" s="120"/>
    </row>
    <row r="307" spans="4:17" x14ac:dyDescent="0.25">
      <c r="D307" s="106"/>
      <c r="E307" s="116"/>
      <c r="F307" s="102"/>
      <c r="G307" s="122"/>
      <c r="H307" s="122"/>
      <c r="I307" s="122"/>
      <c r="J307" s="119"/>
      <c r="K307" s="118"/>
      <c r="L307" s="118"/>
      <c r="M307" s="118"/>
      <c r="N307" s="120"/>
      <c r="O307" s="120"/>
      <c r="P307" s="120"/>
      <c r="Q307" s="120"/>
    </row>
    <row r="308" spans="4:17" x14ac:dyDescent="0.25">
      <c r="D308" s="106"/>
      <c r="E308" s="116"/>
      <c r="F308" s="102"/>
      <c r="G308" s="122"/>
      <c r="H308" s="122"/>
      <c r="I308" s="122"/>
      <c r="J308" s="119"/>
      <c r="K308" s="118"/>
      <c r="L308" s="118"/>
      <c r="M308" s="118"/>
      <c r="N308" s="120"/>
      <c r="O308" s="120"/>
      <c r="P308" s="120"/>
      <c r="Q308" s="120"/>
    </row>
    <row r="309" spans="4:17" x14ac:dyDescent="0.25">
      <c r="D309" s="106"/>
      <c r="E309" s="116"/>
      <c r="F309" s="102"/>
      <c r="G309" s="122"/>
      <c r="H309" s="122"/>
      <c r="I309" s="122"/>
      <c r="J309" s="119"/>
      <c r="K309" s="118"/>
      <c r="L309" s="118"/>
      <c r="M309" s="118"/>
      <c r="N309" s="120"/>
      <c r="O309" s="120"/>
      <c r="P309" s="120"/>
      <c r="Q309" s="120"/>
    </row>
    <row r="310" spans="4:17" x14ac:dyDescent="0.25">
      <c r="D310" s="106"/>
      <c r="E310" s="121"/>
      <c r="F310" s="102"/>
      <c r="G310" s="122"/>
      <c r="H310" s="122"/>
      <c r="I310" s="122"/>
      <c r="J310" s="124"/>
      <c r="K310" s="125"/>
      <c r="L310" s="123"/>
      <c r="M310" s="125"/>
      <c r="N310" s="120"/>
      <c r="O310" s="120"/>
      <c r="P310" s="120"/>
      <c r="Q310" s="120"/>
    </row>
    <row r="311" spans="4:17" x14ac:dyDescent="0.25">
      <c r="D311" s="106"/>
      <c r="E311" s="121"/>
      <c r="F311" s="102"/>
      <c r="G311" s="122"/>
      <c r="H311" s="122"/>
      <c r="I311" s="122"/>
      <c r="J311" s="124"/>
      <c r="K311" s="125"/>
      <c r="L311" s="123"/>
      <c r="M311" s="125"/>
      <c r="N311" s="120"/>
      <c r="O311" s="120"/>
      <c r="P311" s="120"/>
      <c r="Q311" s="120"/>
    </row>
    <row r="312" spans="4:17" x14ac:dyDescent="0.25">
      <c r="D312" s="106"/>
      <c r="E312" s="121"/>
      <c r="F312" s="102"/>
      <c r="G312" s="122"/>
      <c r="H312" s="122"/>
      <c r="I312" s="122"/>
      <c r="J312" s="124"/>
      <c r="K312" s="125"/>
      <c r="L312" s="123"/>
      <c r="M312" s="125"/>
      <c r="N312" s="120"/>
      <c r="O312" s="120"/>
      <c r="P312" s="120"/>
      <c r="Q312" s="120"/>
    </row>
    <row r="313" spans="4:17" x14ac:dyDescent="0.25">
      <c r="D313" s="106"/>
      <c r="E313" s="121"/>
      <c r="F313" s="102"/>
      <c r="G313" s="122"/>
      <c r="H313" s="122"/>
      <c r="I313" s="122"/>
      <c r="J313" s="124"/>
      <c r="K313" s="125"/>
      <c r="L313" s="125"/>
      <c r="M313" s="125"/>
      <c r="N313" s="120"/>
      <c r="O313" s="120"/>
      <c r="P313" s="120"/>
      <c r="Q313" s="120"/>
    </row>
    <row r="314" spans="4:17" x14ac:dyDescent="0.25">
      <c r="D314" s="106"/>
      <c r="E314" s="121"/>
      <c r="F314" s="102"/>
      <c r="G314" s="122"/>
      <c r="H314" s="122"/>
      <c r="I314" s="122"/>
      <c r="J314" s="124"/>
      <c r="K314" s="125"/>
      <c r="L314" s="123"/>
      <c r="M314" s="125"/>
      <c r="N314" s="120"/>
      <c r="O314" s="120"/>
      <c r="P314" s="120"/>
      <c r="Q314" s="120"/>
    </row>
    <row r="315" spans="4:17" x14ac:dyDescent="0.25">
      <c r="D315" s="106"/>
      <c r="E315" s="121"/>
      <c r="F315" s="102"/>
      <c r="G315" s="122"/>
      <c r="H315" s="122"/>
      <c r="I315" s="122"/>
      <c r="J315" s="124"/>
      <c r="K315" s="125"/>
      <c r="L315" s="123"/>
      <c r="M315" s="125"/>
      <c r="N315" s="120"/>
      <c r="O315" s="120"/>
      <c r="P315" s="120"/>
      <c r="Q315" s="120"/>
    </row>
    <row r="316" spans="4:17" x14ac:dyDescent="0.25">
      <c r="D316" s="106"/>
      <c r="E316" s="121"/>
      <c r="F316" s="102"/>
      <c r="G316" s="122"/>
      <c r="H316" s="122"/>
      <c r="I316" s="122"/>
      <c r="J316" s="124"/>
      <c r="K316" s="125"/>
      <c r="L316" s="123"/>
      <c r="M316" s="125"/>
      <c r="N316" s="120"/>
      <c r="O316" s="120"/>
      <c r="P316" s="120"/>
      <c r="Q316" s="120"/>
    </row>
    <row r="317" spans="4:17" x14ac:dyDescent="0.25">
      <c r="D317" s="106"/>
      <c r="E317" s="126"/>
      <c r="F317" s="102"/>
      <c r="G317" s="122"/>
      <c r="H317" s="122"/>
      <c r="I317" s="122"/>
      <c r="J317" s="127"/>
      <c r="K317" s="120"/>
      <c r="L317" s="120"/>
      <c r="M317" s="120"/>
      <c r="N317" s="120"/>
      <c r="O317" s="120"/>
      <c r="P317" s="120"/>
      <c r="Q317" s="120"/>
    </row>
    <row r="318" spans="4:17" x14ac:dyDescent="0.25">
      <c r="D318" s="106"/>
      <c r="E318" s="126"/>
      <c r="F318" s="102"/>
      <c r="G318" s="122"/>
      <c r="H318" s="122"/>
      <c r="I318" s="122"/>
      <c r="J318" s="119"/>
      <c r="K318" s="118"/>
      <c r="L318" s="118"/>
      <c r="M318" s="118"/>
      <c r="N318" s="120"/>
      <c r="O318" s="120"/>
      <c r="P318" s="120"/>
      <c r="Q318" s="120"/>
    </row>
    <row r="319" spans="4:17" x14ac:dyDescent="0.25">
      <c r="D319" s="106"/>
      <c r="E319" s="126"/>
      <c r="F319" s="102"/>
      <c r="G319" s="122"/>
      <c r="H319" s="122"/>
      <c r="I319" s="122"/>
      <c r="J319" s="119"/>
      <c r="K319" s="118"/>
      <c r="L319" s="118"/>
      <c r="M319" s="118"/>
      <c r="N319" s="120"/>
      <c r="O319" s="120"/>
      <c r="P319" s="120"/>
      <c r="Q319" s="120"/>
    </row>
    <row r="320" spans="4:17" x14ac:dyDescent="0.25">
      <c r="D320" s="106"/>
      <c r="E320" s="126"/>
      <c r="F320" s="102"/>
      <c r="G320" s="122"/>
      <c r="H320" s="122"/>
      <c r="I320" s="122"/>
      <c r="J320" s="119"/>
      <c r="K320" s="118"/>
      <c r="L320" s="118"/>
      <c r="M320" s="118"/>
      <c r="N320" s="120"/>
      <c r="O320" s="120"/>
      <c r="P320" s="120"/>
      <c r="Q320" s="120"/>
    </row>
    <row r="321" spans="4:17" x14ac:dyDescent="0.25">
      <c r="D321" s="106"/>
      <c r="E321" s="126"/>
      <c r="F321" s="102"/>
      <c r="G321" s="122"/>
      <c r="H321" s="122"/>
      <c r="I321" s="122"/>
      <c r="J321" s="119"/>
      <c r="K321" s="118"/>
      <c r="L321" s="118"/>
      <c r="M321" s="118"/>
      <c r="N321" s="120"/>
      <c r="O321" s="120"/>
      <c r="P321" s="120"/>
      <c r="Q321" s="120"/>
    </row>
    <row r="322" spans="4:17" x14ac:dyDescent="0.25">
      <c r="D322" s="106"/>
      <c r="E322" s="121"/>
      <c r="F322" s="102"/>
      <c r="G322" s="122"/>
      <c r="H322" s="122"/>
      <c r="I322" s="122"/>
      <c r="J322" s="124"/>
      <c r="K322" s="125"/>
      <c r="L322" s="125"/>
      <c r="M322" s="125"/>
      <c r="N322" s="120"/>
      <c r="O322" s="120"/>
      <c r="P322" s="120"/>
      <c r="Q322" s="120"/>
    </row>
    <row r="323" spans="4:17" x14ac:dyDescent="0.25">
      <c r="D323" s="106"/>
      <c r="E323" s="121"/>
      <c r="F323" s="102"/>
      <c r="G323" s="122"/>
      <c r="H323" s="122"/>
      <c r="I323" s="122"/>
      <c r="J323" s="124"/>
      <c r="K323" s="125"/>
      <c r="L323" s="123"/>
      <c r="M323" s="125"/>
      <c r="N323" s="120"/>
      <c r="O323" s="120"/>
      <c r="P323" s="120"/>
      <c r="Q323" s="120"/>
    </row>
    <row r="324" spans="4:17" x14ac:dyDescent="0.25">
      <c r="D324" s="106"/>
      <c r="E324" s="121"/>
      <c r="F324" s="102"/>
      <c r="G324" s="122"/>
      <c r="H324" s="122"/>
      <c r="I324" s="122"/>
      <c r="J324" s="124"/>
      <c r="K324" s="125"/>
      <c r="L324" s="125"/>
      <c r="M324" s="125"/>
      <c r="N324" s="120"/>
      <c r="O324" s="120"/>
      <c r="P324" s="120"/>
      <c r="Q324" s="120"/>
    </row>
    <row r="325" spans="4:17" x14ac:dyDescent="0.25">
      <c r="D325" s="106"/>
      <c r="E325" s="126"/>
      <c r="F325" s="102"/>
      <c r="G325" s="122"/>
      <c r="H325" s="122"/>
      <c r="I325" s="122"/>
      <c r="J325" s="119"/>
      <c r="K325" s="118"/>
      <c r="L325" s="118"/>
      <c r="M325" s="118"/>
      <c r="N325" s="120"/>
      <c r="O325" s="120"/>
      <c r="P325" s="120"/>
      <c r="Q325" s="120"/>
    </row>
    <row r="326" spans="4:17" x14ac:dyDescent="0.25">
      <c r="D326" s="106"/>
      <c r="E326" s="116"/>
      <c r="F326" s="102"/>
      <c r="G326" s="117"/>
      <c r="H326" s="117"/>
      <c r="I326" s="117"/>
      <c r="J326" s="119"/>
      <c r="K326" s="118"/>
      <c r="L326" s="118"/>
      <c r="M326" s="118"/>
      <c r="N326" s="120"/>
      <c r="O326" s="120"/>
      <c r="P326" s="120"/>
      <c r="Q326" s="120"/>
    </row>
    <row r="327" spans="4:17" x14ac:dyDescent="0.25">
      <c r="D327" s="106"/>
      <c r="E327" s="116"/>
      <c r="F327" s="102"/>
      <c r="G327" s="122"/>
      <c r="H327" s="122"/>
      <c r="I327" s="122"/>
      <c r="J327" s="119"/>
      <c r="K327" s="118"/>
      <c r="L327" s="118"/>
      <c r="M327" s="118"/>
      <c r="N327" s="120"/>
      <c r="O327" s="120"/>
      <c r="P327" s="120"/>
      <c r="Q327" s="120"/>
    </row>
    <row r="328" spans="4:17" x14ac:dyDescent="0.25">
      <c r="D328" s="106"/>
      <c r="E328" s="116"/>
      <c r="F328" s="102"/>
      <c r="G328" s="122"/>
      <c r="H328" s="122"/>
      <c r="I328" s="122"/>
      <c r="J328" s="127"/>
      <c r="K328" s="120"/>
      <c r="L328" s="120"/>
      <c r="M328" s="120"/>
      <c r="N328" s="120"/>
      <c r="O328" s="120"/>
      <c r="P328" s="120"/>
      <c r="Q328" s="120"/>
    </row>
    <row r="329" spans="4:17" x14ac:dyDescent="0.25">
      <c r="D329" s="106"/>
      <c r="E329" s="116"/>
      <c r="F329" s="102"/>
      <c r="G329" s="122"/>
      <c r="H329" s="122"/>
      <c r="I329" s="122"/>
      <c r="J329" s="119"/>
      <c r="K329" s="118"/>
      <c r="L329" s="118"/>
      <c r="M329" s="118"/>
      <c r="N329" s="120"/>
      <c r="O329" s="120"/>
      <c r="P329" s="120"/>
      <c r="Q329" s="120"/>
    </row>
    <row r="330" spans="4:17" x14ac:dyDescent="0.25">
      <c r="D330" s="106"/>
      <c r="E330" s="121"/>
      <c r="F330" s="102"/>
      <c r="G330" s="122"/>
      <c r="H330" s="122"/>
      <c r="I330" s="122"/>
      <c r="J330" s="124"/>
      <c r="K330" s="125"/>
      <c r="L330" s="123"/>
      <c r="M330" s="125"/>
      <c r="N330" s="120"/>
      <c r="O330" s="120"/>
      <c r="P330" s="120"/>
      <c r="Q330" s="120"/>
    </row>
    <row r="331" spans="4:17" x14ac:dyDescent="0.25">
      <c r="D331" s="106"/>
      <c r="E331" s="121"/>
      <c r="F331" s="102"/>
      <c r="G331" s="122"/>
      <c r="H331" s="122"/>
      <c r="I331" s="122"/>
      <c r="J331" s="124"/>
      <c r="K331" s="125"/>
      <c r="L331" s="123"/>
      <c r="M331" s="125"/>
      <c r="N331" s="120"/>
      <c r="O331" s="120"/>
      <c r="P331" s="120"/>
      <c r="Q331" s="120"/>
    </row>
    <row r="332" spans="4:17" x14ac:dyDescent="0.25">
      <c r="D332" s="106"/>
      <c r="E332" s="121"/>
      <c r="F332" s="102"/>
      <c r="G332" s="122"/>
      <c r="H332" s="122"/>
      <c r="I332" s="122"/>
      <c r="J332" s="124"/>
      <c r="K332" s="125"/>
      <c r="L332" s="123"/>
      <c r="M332" s="125"/>
      <c r="N332" s="120"/>
      <c r="O332" s="120"/>
      <c r="P332" s="120"/>
      <c r="Q332" s="120"/>
    </row>
    <row r="333" spans="4:17" x14ac:dyDescent="0.25">
      <c r="D333" s="106"/>
      <c r="E333" s="121"/>
      <c r="F333" s="102"/>
      <c r="G333" s="122"/>
      <c r="H333" s="122"/>
      <c r="I333" s="122"/>
      <c r="J333" s="124"/>
      <c r="K333" s="125"/>
      <c r="L333" s="123"/>
      <c r="M333" s="123"/>
      <c r="N333" s="120"/>
      <c r="O333" s="120"/>
      <c r="P333" s="120"/>
      <c r="Q333" s="120"/>
    </row>
    <row r="334" spans="4:17" x14ac:dyDescent="0.25">
      <c r="D334" s="106"/>
      <c r="E334" s="121"/>
      <c r="F334" s="102"/>
      <c r="G334" s="122"/>
      <c r="H334" s="122"/>
      <c r="I334" s="122"/>
      <c r="J334" s="124"/>
      <c r="K334" s="125"/>
      <c r="L334" s="123"/>
      <c r="M334" s="123"/>
      <c r="N334" s="120"/>
      <c r="O334" s="120"/>
      <c r="P334" s="120"/>
      <c r="Q334" s="120"/>
    </row>
    <row r="335" spans="4:17" x14ac:dyDescent="0.25">
      <c r="D335" s="106"/>
      <c r="E335" s="121"/>
      <c r="F335" s="102"/>
      <c r="G335" s="122"/>
      <c r="H335" s="122"/>
      <c r="I335" s="122"/>
      <c r="J335" s="124"/>
      <c r="K335" s="125"/>
      <c r="L335" s="123"/>
      <c r="M335" s="123"/>
      <c r="N335" s="120"/>
      <c r="O335" s="120"/>
      <c r="P335" s="120"/>
      <c r="Q335" s="120"/>
    </row>
    <row r="336" spans="4:17" x14ac:dyDescent="0.25">
      <c r="D336" s="106"/>
      <c r="E336" s="116"/>
      <c r="F336" s="102"/>
      <c r="G336" s="122"/>
      <c r="H336" s="122"/>
      <c r="I336" s="122"/>
      <c r="J336" s="119"/>
      <c r="K336" s="118"/>
      <c r="L336" s="118"/>
      <c r="M336" s="118"/>
      <c r="N336" s="120"/>
      <c r="O336" s="120"/>
      <c r="P336" s="120"/>
      <c r="Q336" s="120"/>
    </row>
    <row r="337" spans="4:17" x14ac:dyDescent="0.25">
      <c r="D337" s="106"/>
      <c r="E337" s="116"/>
      <c r="F337" s="102"/>
      <c r="G337" s="122"/>
      <c r="H337" s="122"/>
      <c r="I337" s="122"/>
      <c r="J337" s="127"/>
      <c r="K337" s="120"/>
      <c r="L337" s="120"/>
      <c r="M337" s="120"/>
      <c r="N337" s="120"/>
      <c r="O337" s="120"/>
      <c r="P337" s="120"/>
      <c r="Q337" s="120"/>
    </row>
    <row r="338" spans="4:17" x14ac:dyDescent="0.25">
      <c r="D338" s="106"/>
      <c r="E338" s="126"/>
      <c r="F338" s="102"/>
      <c r="G338" s="122"/>
      <c r="H338" s="122"/>
      <c r="I338" s="122"/>
      <c r="J338" s="119"/>
      <c r="K338" s="118"/>
      <c r="L338" s="118"/>
      <c r="M338" s="118"/>
      <c r="N338" s="120"/>
      <c r="O338" s="120"/>
      <c r="P338" s="120"/>
      <c r="Q338" s="120"/>
    </row>
    <row r="339" spans="4:17" x14ac:dyDescent="0.25">
      <c r="D339" s="106"/>
      <c r="E339" s="126"/>
      <c r="F339" s="102"/>
      <c r="G339" s="122"/>
      <c r="H339" s="122"/>
      <c r="I339" s="122"/>
      <c r="J339" s="119"/>
      <c r="K339" s="118"/>
      <c r="L339" s="118"/>
      <c r="M339" s="118"/>
      <c r="N339" s="120"/>
      <c r="O339" s="120"/>
      <c r="P339" s="120"/>
      <c r="Q339" s="120"/>
    </row>
    <row r="340" spans="4:17" x14ac:dyDescent="0.25">
      <c r="D340" s="106"/>
      <c r="E340" s="126"/>
      <c r="F340" s="102"/>
      <c r="G340" s="122"/>
      <c r="H340" s="122"/>
      <c r="I340" s="122"/>
      <c r="J340" s="119"/>
      <c r="K340" s="118"/>
      <c r="L340" s="118"/>
      <c r="M340" s="118"/>
      <c r="N340" s="120"/>
      <c r="O340" s="120"/>
      <c r="P340" s="120"/>
      <c r="Q340" s="120"/>
    </row>
    <row r="341" spans="4:17" x14ac:dyDescent="0.25">
      <c r="D341" s="106"/>
      <c r="E341" s="126"/>
      <c r="F341" s="102"/>
      <c r="G341" s="122"/>
      <c r="H341" s="122"/>
      <c r="I341" s="122"/>
      <c r="J341" s="119"/>
      <c r="K341" s="118"/>
      <c r="L341" s="118"/>
      <c r="M341" s="118"/>
      <c r="N341" s="120"/>
      <c r="O341" s="120"/>
      <c r="P341" s="120"/>
      <c r="Q341" s="120"/>
    </row>
    <row r="342" spans="4:17" x14ac:dyDescent="0.25">
      <c r="D342" s="106"/>
      <c r="E342" s="126"/>
      <c r="F342" s="102"/>
      <c r="G342" s="122"/>
      <c r="H342" s="122"/>
      <c r="I342" s="122"/>
      <c r="J342" s="119"/>
      <c r="K342" s="118"/>
      <c r="L342" s="118"/>
      <c r="M342" s="118"/>
      <c r="N342" s="120"/>
      <c r="O342" s="120"/>
      <c r="P342" s="120"/>
      <c r="Q342" s="120"/>
    </row>
    <row r="343" spans="4:17" x14ac:dyDescent="0.25">
      <c r="D343" s="106"/>
      <c r="E343" s="126"/>
      <c r="F343" s="102"/>
      <c r="G343" s="122"/>
      <c r="H343" s="122"/>
      <c r="I343" s="122"/>
      <c r="J343" s="119"/>
      <c r="K343" s="118"/>
      <c r="L343" s="118"/>
      <c r="M343" s="118"/>
      <c r="N343" s="120"/>
      <c r="O343" s="120"/>
      <c r="P343" s="120"/>
      <c r="Q343" s="120"/>
    </row>
    <row r="344" spans="4:17" x14ac:dyDescent="0.25">
      <c r="D344" s="106"/>
      <c r="E344" s="126"/>
      <c r="F344" s="102"/>
      <c r="G344" s="122"/>
      <c r="H344" s="122"/>
      <c r="I344" s="122"/>
      <c r="J344" s="119"/>
      <c r="K344" s="118"/>
      <c r="L344" s="118"/>
      <c r="M344" s="118"/>
      <c r="N344" s="120"/>
      <c r="O344" s="120"/>
      <c r="P344" s="120"/>
      <c r="Q344" s="120"/>
    </row>
    <row r="345" spans="4:17" x14ac:dyDescent="0.25">
      <c r="D345" s="106"/>
      <c r="E345" s="126"/>
      <c r="F345" s="102"/>
      <c r="G345" s="122"/>
      <c r="H345" s="122"/>
      <c r="I345" s="122"/>
      <c r="J345" s="119"/>
      <c r="K345" s="118"/>
      <c r="L345" s="118"/>
      <c r="M345" s="118"/>
      <c r="N345" s="120"/>
      <c r="O345" s="120"/>
      <c r="P345" s="120"/>
      <c r="Q345" s="120"/>
    </row>
    <row r="346" spans="4:17" x14ac:dyDescent="0.25">
      <c r="D346" s="106"/>
      <c r="E346" s="126"/>
      <c r="F346" s="102"/>
      <c r="G346" s="122"/>
      <c r="H346" s="122"/>
      <c r="I346" s="122"/>
      <c r="J346" s="119"/>
      <c r="K346" s="118"/>
      <c r="L346" s="118"/>
      <c r="M346" s="118"/>
      <c r="N346" s="120"/>
      <c r="O346" s="120"/>
      <c r="P346" s="120"/>
      <c r="Q346" s="120"/>
    </row>
    <row r="347" spans="4:17" x14ac:dyDescent="0.25">
      <c r="D347" s="106"/>
      <c r="E347" s="121"/>
      <c r="F347" s="102"/>
      <c r="G347" s="122"/>
      <c r="H347" s="122"/>
      <c r="I347" s="122"/>
      <c r="J347" s="124"/>
      <c r="K347" s="125"/>
      <c r="L347" s="123"/>
      <c r="M347" s="123"/>
      <c r="N347" s="120"/>
      <c r="O347" s="120"/>
      <c r="P347" s="120"/>
      <c r="Q347" s="120"/>
    </row>
    <row r="348" spans="4:17" x14ac:dyDescent="0.25">
      <c r="D348" s="106"/>
      <c r="E348" s="126"/>
      <c r="F348" s="102"/>
      <c r="G348" s="122"/>
      <c r="H348" s="122"/>
      <c r="I348" s="122"/>
      <c r="J348" s="119"/>
      <c r="K348" s="118"/>
      <c r="L348" s="118"/>
      <c r="M348" s="118"/>
      <c r="N348" s="120"/>
      <c r="O348" s="120"/>
      <c r="P348" s="120"/>
      <c r="Q348" s="120"/>
    </row>
    <row r="349" spans="4:17" x14ac:dyDescent="0.25">
      <c r="D349" s="106"/>
      <c r="E349" s="126"/>
      <c r="F349" s="102"/>
      <c r="G349" s="122"/>
      <c r="H349" s="122"/>
      <c r="I349" s="122"/>
      <c r="J349" s="119"/>
      <c r="K349" s="118"/>
      <c r="L349" s="118"/>
      <c r="M349" s="118"/>
      <c r="N349" s="120"/>
      <c r="O349" s="120"/>
      <c r="P349" s="120"/>
      <c r="Q349" s="120"/>
    </row>
    <row r="350" spans="4:17" x14ac:dyDescent="0.25">
      <c r="D350" s="106"/>
      <c r="E350" s="126"/>
      <c r="F350" s="102"/>
      <c r="G350" s="122"/>
      <c r="H350" s="122"/>
      <c r="I350" s="122"/>
      <c r="J350" s="119"/>
      <c r="K350" s="118"/>
      <c r="L350" s="118"/>
      <c r="M350" s="118"/>
      <c r="N350" s="120"/>
      <c r="O350" s="120"/>
      <c r="P350" s="120"/>
      <c r="Q350" s="120"/>
    </row>
    <row r="351" spans="4:17" x14ac:dyDescent="0.25">
      <c r="D351" s="106"/>
      <c r="E351" s="126"/>
      <c r="F351" s="102"/>
      <c r="G351" s="122"/>
      <c r="H351" s="122"/>
      <c r="I351" s="122"/>
      <c r="J351" s="119"/>
      <c r="K351" s="118"/>
      <c r="L351" s="118"/>
      <c r="M351" s="118"/>
      <c r="N351" s="120"/>
      <c r="O351" s="120"/>
      <c r="P351" s="120"/>
      <c r="Q351" s="120"/>
    </row>
    <row r="352" spans="4:17" x14ac:dyDescent="0.25">
      <c r="D352" s="106"/>
      <c r="E352" s="121"/>
      <c r="F352" s="102"/>
      <c r="G352" s="122"/>
      <c r="H352" s="122"/>
      <c r="I352" s="122"/>
      <c r="J352" s="124"/>
      <c r="K352" s="125"/>
      <c r="L352" s="123"/>
      <c r="M352" s="123"/>
      <c r="N352" s="120"/>
      <c r="O352" s="120"/>
      <c r="P352" s="120"/>
      <c r="Q352" s="120"/>
    </row>
    <row r="353" spans="4:17" x14ac:dyDescent="0.25">
      <c r="D353" s="106"/>
      <c r="E353" s="121"/>
      <c r="F353" s="102"/>
      <c r="G353" s="122"/>
      <c r="H353" s="122"/>
      <c r="I353" s="122"/>
      <c r="J353" s="124"/>
      <c r="K353" s="125"/>
      <c r="L353" s="123"/>
      <c r="M353" s="123"/>
      <c r="N353" s="120"/>
      <c r="O353" s="120"/>
      <c r="P353" s="120"/>
      <c r="Q353" s="120"/>
    </row>
    <row r="354" spans="4:17" x14ac:dyDescent="0.25">
      <c r="D354" s="106"/>
      <c r="E354" s="121"/>
      <c r="F354" s="102"/>
      <c r="G354" s="122"/>
      <c r="H354" s="122"/>
      <c r="I354" s="122"/>
      <c r="J354" s="124"/>
      <c r="K354" s="125"/>
      <c r="L354" s="123"/>
      <c r="M354" s="123"/>
      <c r="N354" s="120"/>
      <c r="O354" s="120"/>
      <c r="P354" s="120"/>
      <c r="Q354" s="120"/>
    </row>
    <row r="355" spans="4:17" ht="14.5" x14ac:dyDescent="0.35">
      <c r="D355" s="101"/>
      <c r="E355" s="128"/>
      <c r="F355" s="102"/>
      <c r="G355" s="129"/>
      <c r="H355" s="129"/>
      <c r="I355" s="129"/>
      <c r="J355" s="131"/>
      <c r="K355" s="130"/>
      <c r="L355" s="130"/>
      <c r="M355" s="130"/>
      <c r="N355" s="132"/>
      <c r="O355" s="132"/>
      <c r="P355" s="132"/>
      <c r="Q355" s="132"/>
    </row>
    <row r="356" spans="4:17" ht="14.5" x14ac:dyDescent="0.35">
      <c r="D356" s="101"/>
      <c r="E356" s="128"/>
      <c r="F356" s="102"/>
      <c r="G356" s="129"/>
      <c r="H356" s="129"/>
      <c r="I356" s="129"/>
      <c r="J356" s="131"/>
      <c r="K356" s="130"/>
      <c r="L356" s="130"/>
      <c r="M356" s="130"/>
      <c r="N356" s="132"/>
      <c r="O356" s="132"/>
      <c r="P356" s="132"/>
      <c r="Q356" s="132"/>
    </row>
    <row r="357" spans="4:17" ht="14.5" x14ac:dyDescent="0.35">
      <c r="D357" s="101"/>
      <c r="E357" s="133"/>
      <c r="F357" s="102"/>
      <c r="G357" s="129"/>
      <c r="H357" s="129"/>
      <c r="I357" s="129"/>
      <c r="J357" s="131"/>
      <c r="K357" s="130"/>
      <c r="L357" s="130"/>
      <c r="M357" s="130"/>
      <c r="N357" s="132"/>
      <c r="O357" s="132"/>
      <c r="P357" s="132"/>
      <c r="Q357" s="132"/>
    </row>
    <row r="358" spans="4:17" ht="14.5" x14ac:dyDescent="0.35">
      <c r="D358" s="101"/>
      <c r="E358" s="134"/>
      <c r="F358" s="102"/>
      <c r="G358" s="135"/>
      <c r="H358" s="135"/>
      <c r="I358" s="135"/>
      <c r="J358" s="137"/>
      <c r="K358" s="136"/>
      <c r="L358" s="136"/>
      <c r="M358" s="136"/>
      <c r="N358" s="136"/>
      <c r="O358" s="136"/>
      <c r="P358" s="136"/>
      <c r="Q358" s="136"/>
    </row>
    <row r="359" spans="4:17" ht="14.5" x14ac:dyDescent="0.35">
      <c r="D359" s="101"/>
      <c r="E359" s="138"/>
      <c r="F359" s="102"/>
      <c r="G359" s="135"/>
      <c r="H359" s="139"/>
      <c r="I359" s="139"/>
      <c r="J359" s="141"/>
      <c r="K359" s="140"/>
      <c r="L359" s="140"/>
      <c r="M359" s="140"/>
      <c r="N359" s="136"/>
      <c r="O359" s="136"/>
      <c r="P359" s="136"/>
      <c r="Q359" s="136"/>
    </row>
    <row r="360" spans="4:17" ht="14.5" x14ac:dyDescent="0.35">
      <c r="D360" s="101"/>
      <c r="E360" s="134"/>
      <c r="F360" s="102"/>
      <c r="G360" s="135"/>
      <c r="H360" s="135"/>
      <c r="I360" s="135"/>
      <c r="J360" s="141"/>
      <c r="K360" s="140"/>
      <c r="L360" s="140"/>
      <c r="M360" s="140"/>
      <c r="N360" s="136"/>
      <c r="O360" s="136"/>
      <c r="P360" s="136"/>
      <c r="Q360" s="136"/>
    </row>
    <row r="361" spans="4:17" ht="14.5" x14ac:dyDescent="0.35">
      <c r="D361" s="101"/>
      <c r="E361" s="134"/>
      <c r="F361" s="102"/>
      <c r="G361" s="135"/>
      <c r="H361" s="135"/>
      <c r="I361" s="135"/>
      <c r="J361" s="141"/>
      <c r="K361" s="140"/>
      <c r="L361" s="140"/>
      <c r="M361" s="140"/>
      <c r="N361" s="136"/>
      <c r="O361" s="136"/>
      <c r="P361" s="136"/>
      <c r="Q361" s="136"/>
    </row>
    <row r="362" spans="4:17" ht="14.5" x14ac:dyDescent="0.35">
      <c r="D362" s="101"/>
      <c r="E362" s="134"/>
      <c r="F362" s="102"/>
      <c r="G362" s="135"/>
      <c r="H362" s="135"/>
      <c r="I362" s="135"/>
      <c r="J362" s="141"/>
      <c r="K362" s="140"/>
      <c r="L362" s="140"/>
      <c r="M362" s="140"/>
      <c r="N362" s="136"/>
      <c r="O362" s="136"/>
      <c r="P362" s="136"/>
      <c r="Q362" s="136"/>
    </row>
    <row r="363" spans="4:17" ht="14.5" x14ac:dyDescent="0.35">
      <c r="D363" s="101"/>
      <c r="E363" s="134"/>
      <c r="F363" s="102"/>
      <c r="G363" s="135"/>
      <c r="H363" s="135"/>
      <c r="I363" s="135"/>
      <c r="J363" s="141"/>
      <c r="K363" s="140"/>
      <c r="L363" s="140"/>
      <c r="M363" s="140"/>
      <c r="N363" s="136"/>
      <c r="O363" s="136"/>
      <c r="P363" s="136"/>
      <c r="Q363" s="136"/>
    </row>
    <row r="364" spans="4:17" ht="14.5" x14ac:dyDescent="0.35">
      <c r="D364" s="101"/>
      <c r="E364" s="142"/>
      <c r="F364" s="102"/>
      <c r="G364" s="135"/>
      <c r="H364" s="135"/>
      <c r="I364" s="135"/>
      <c r="J364" s="141"/>
      <c r="K364" s="140"/>
      <c r="L364" s="140"/>
      <c r="M364" s="140"/>
      <c r="N364" s="136"/>
      <c r="O364" s="136"/>
      <c r="P364" s="136"/>
      <c r="Q364" s="136"/>
    </row>
    <row r="365" spans="4:17" ht="14.5" x14ac:dyDescent="0.35">
      <c r="D365" s="101"/>
      <c r="E365" s="134"/>
      <c r="F365" s="102"/>
      <c r="G365" s="135"/>
      <c r="H365" s="135"/>
      <c r="I365" s="135"/>
      <c r="J365" s="137"/>
      <c r="K365" s="136"/>
      <c r="L365" s="136"/>
      <c r="M365" s="136"/>
      <c r="N365" s="136"/>
      <c r="O365" s="136"/>
      <c r="P365" s="136"/>
      <c r="Q365" s="136"/>
    </row>
    <row r="366" spans="4:17" ht="14.5" x14ac:dyDescent="0.35">
      <c r="D366" s="101"/>
      <c r="E366" s="134"/>
      <c r="F366" s="102"/>
      <c r="G366" s="135"/>
      <c r="H366" s="135"/>
      <c r="I366" s="135"/>
      <c r="J366" s="141"/>
      <c r="K366" s="140"/>
      <c r="L366" s="140"/>
      <c r="M366" s="140"/>
      <c r="N366" s="136"/>
      <c r="O366" s="136"/>
      <c r="P366" s="136"/>
      <c r="Q366" s="136"/>
    </row>
    <row r="367" spans="4:17" ht="14.5" x14ac:dyDescent="0.35">
      <c r="D367" s="101"/>
      <c r="E367" s="134"/>
      <c r="F367" s="102"/>
      <c r="G367" s="135"/>
      <c r="H367" s="135"/>
      <c r="I367" s="135"/>
      <c r="J367" s="141"/>
      <c r="K367" s="140"/>
      <c r="L367" s="140"/>
      <c r="M367" s="140"/>
      <c r="N367" s="136"/>
      <c r="O367" s="136"/>
      <c r="P367" s="136"/>
      <c r="Q367" s="136"/>
    </row>
    <row r="368" spans="4:17" ht="14.5" x14ac:dyDescent="0.35">
      <c r="D368" s="101"/>
      <c r="E368" s="134"/>
      <c r="F368" s="102"/>
      <c r="G368" s="135"/>
      <c r="H368" s="135"/>
      <c r="I368" s="135"/>
      <c r="J368" s="141"/>
      <c r="K368" s="140"/>
      <c r="L368" s="140"/>
      <c r="M368" s="140"/>
      <c r="N368" s="136"/>
      <c r="O368" s="136"/>
      <c r="P368" s="136"/>
      <c r="Q368" s="136"/>
    </row>
    <row r="369" spans="4:17" ht="14.5" x14ac:dyDescent="0.35">
      <c r="D369" s="101"/>
      <c r="E369" s="134"/>
      <c r="F369" s="102"/>
      <c r="G369" s="135"/>
      <c r="H369" s="135"/>
      <c r="I369" s="135"/>
      <c r="J369" s="141"/>
      <c r="K369" s="140"/>
      <c r="L369" s="140"/>
      <c r="M369" s="140"/>
      <c r="N369" s="136"/>
      <c r="O369" s="136"/>
      <c r="P369" s="136"/>
      <c r="Q369" s="136"/>
    </row>
    <row r="370" spans="4:17" ht="14.5" x14ac:dyDescent="0.35">
      <c r="D370" s="101"/>
      <c r="E370" s="134"/>
      <c r="F370" s="102"/>
      <c r="G370" s="135"/>
      <c r="H370" s="135"/>
      <c r="I370" s="135"/>
      <c r="J370" s="141"/>
      <c r="K370" s="140"/>
      <c r="L370" s="140"/>
      <c r="M370" s="140"/>
      <c r="N370" s="136"/>
      <c r="O370" s="136"/>
      <c r="P370" s="136"/>
      <c r="Q370" s="136"/>
    </row>
    <row r="371" spans="4:17" ht="14.5" x14ac:dyDescent="0.35">
      <c r="D371" s="101"/>
      <c r="E371" s="134"/>
      <c r="F371" s="102"/>
      <c r="G371" s="135"/>
      <c r="H371" s="135"/>
      <c r="I371" s="135"/>
      <c r="J371" s="141"/>
      <c r="K371" s="140"/>
      <c r="L371" s="140"/>
      <c r="M371" s="140"/>
      <c r="N371" s="136"/>
      <c r="O371" s="136"/>
      <c r="P371" s="136"/>
      <c r="Q371" s="136"/>
    </row>
    <row r="372" spans="4:17" ht="14.5" x14ac:dyDescent="0.35">
      <c r="D372" s="101"/>
      <c r="E372" s="134"/>
      <c r="F372" s="102"/>
      <c r="G372" s="135"/>
      <c r="H372" s="135"/>
      <c r="I372" s="135"/>
      <c r="J372" s="141"/>
      <c r="K372" s="140"/>
      <c r="L372" s="140"/>
      <c r="M372" s="140"/>
      <c r="N372" s="136"/>
      <c r="O372" s="136"/>
      <c r="P372" s="136"/>
      <c r="Q372" s="136"/>
    </row>
    <row r="373" spans="4:17" ht="14.5" x14ac:dyDescent="0.35">
      <c r="D373" s="101"/>
      <c r="E373" s="134"/>
      <c r="F373" s="102"/>
      <c r="G373" s="135"/>
      <c r="H373" s="135"/>
      <c r="I373" s="135"/>
      <c r="J373" s="141"/>
      <c r="K373" s="140"/>
      <c r="L373" s="140"/>
      <c r="M373" s="140"/>
      <c r="N373" s="136"/>
      <c r="O373" s="136"/>
      <c r="P373" s="136"/>
      <c r="Q373" s="136"/>
    </row>
    <row r="374" spans="4:17" ht="14.5" x14ac:dyDescent="0.35">
      <c r="D374" s="101"/>
      <c r="E374" s="142"/>
      <c r="F374" s="102"/>
      <c r="G374" s="143"/>
      <c r="H374" s="143"/>
      <c r="I374" s="143"/>
      <c r="J374" s="141"/>
      <c r="K374" s="140"/>
      <c r="L374" s="140"/>
      <c r="M374" s="140"/>
      <c r="N374" s="136"/>
      <c r="O374" s="136"/>
      <c r="P374" s="136"/>
      <c r="Q374" s="136"/>
    </row>
    <row r="375" spans="4:17" ht="14.5" x14ac:dyDescent="0.35">
      <c r="D375" s="101"/>
      <c r="E375" s="134"/>
      <c r="F375" s="102"/>
      <c r="G375" s="135"/>
      <c r="H375" s="135"/>
      <c r="I375" s="135"/>
      <c r="J375" s="141"/>
      <c r="K375" s="140"/>
      <c r="L375" s="140"/>
      <c r="M375" s="140"/>
      <c r="N375" s="136"/>
      <c r="O375" s="136"/>
      <c r="P375" s="136"/>
      <c r="Q375" s="136"/>
    </row>
    <row r="376" spans="4:17" ht="14.5" x14ac:dyDescent="0.35">
      <c r="D376" s="101"/>
      <c r="E376" s="134"/>
      <c r="F376" s="102"/>
      <c r="G376" s="135"/>
      <c r="H376" s="135"/>
      <c r="I376" s="135"/>
      <c r="J376" s="141"/>
      <c r="K376" s="140"/>
      <c r="L376" s="140"/>
      <c r="M376" s="140"/>
      <c r="N376" s="136"/>
      <c r="O376" s="136"/>
      <c r="P376" s="136"/>
      <c r="Q376" s="136"/>
    </row>
    <row r="377" spans="4:17" ht="14.5" x14ac:dyDescent="0.35">
      <c r="D377" s="101"/>
      <c r="E377" s="142"/>
      <c r="F377" s="102"/>
      <c r="G377" s="143"/>
      <c r="H377" s="143"/>
      <c r="I377" s="143"/>
      <c r="J377" s="141"/>
      <c r="K377" s="140"/>
      <c r="L377" s="140"/>
      <c r="M377" s="140"/>
      <c r="N377" s="136"/>
      <c r="O377" s="136"/>
      <c r="P377" s="136"/>
      <c r="Q377" s="136"/>
    </row>
    <row r="378" spans="4:17" ht="14.5" x14ac:dyDescent="0.35">
      <c r="D378" s="101"/>
      <c r="E378" s="142"/>
      <c r="F378" s="102"/>
      <c r="G378" s="135"/>
      <c r="H378" s="135"/>
      <c r="I378" s="135"/>
      <c r="J378" s="141"/>
      <c r="K378" s="140"/>
      <c r="L378" s="140"/>
      <c r="M378" s="140"/>
      <c r="N378" s="136"/>
      <c r="O378" s="136"/>
      <c r="P378" s="136"/>
      <c r="Q378" s="136"/>
    </row>
    <row r="379" spans="4:17" ht="14.5" x14ac:dyDescent="0.35">
      <c r="D379" s="101"/>
      <c r="E379" s="142"/>
      <c r="F379" s="102"/>
      <c r="G379" s="143"/>
      <c r="H379" s="143"/>
      <c r="I379" s="143"/>
      <c r="J379" s="141"/>
      <c r="K379" s="140"/>
      <c r="L379" s="140"/>
      <c r="M379" s="140"/>
      <c r="N379" s="136"/>
      <c r="O379" s="136"/>
      <c r="P379" s="136"/>
      <c r="Q379" s="136"/>
    </row>
    <row r="380" spans="4:17" ht="14.5" x14ac:dyDescent="0.35">
      <c r="D380" s="101"/>
      <c r="E380" s="142"/>
      <c r="F380" s="102"/>
      <c r="G380" s="135"/>
      <c r="H380" s="135"/>
      <c r="I380" s="135"/>
      <c r="J380" s="141"/>
      <c r="K380" s="140"/>
      <c r="L380" s="140"/>
      <c r="M380" s="140"/>
      <c r="N380" s="136"/>
      <c r="O380" s="136"/>
      <c r="P380" s="136"/>
      <c r="Q380" s="136"/>
    </row>
    <row r="381" spans="4:17" ht="14.5" x14ac:dyDescent="0.35">
      <c r="D381" s="101"/>
      <c r="E381" s="142"/>
      <c r="F381" s="102"/>
      <c r="G381" s="135"/>
      <c r="H381" s="135"/>
      <c r="I381" s="135"/>
      <c r="J381" s="141"/>
      <c r="K381" s="140"/>
      <c r="L381" s="140"/>
      <c r="M381" s="140"/>
      <c r="N381" s="136"/>
      <c r="O381" s="136"/>
      <c r="P381" s="136"/>
      <c r="Q381" s="136"/>
    </row>
    <row r="382" spans="4:17" ht="14.5" x14ac:dyDescent="0.35">
      <c r="D382" s="101"/>
      <c r="E382" s="142"/>
      <c r="F382" s="102"/>
      <c r="G382" s="135"/>
      <c r="H382" s="135"/>
      <c r="I382" s="135"/>
      <c r="J382" s="141"/>
      <c r="K382" s="140"/>
      <c r="L382" s="140"/>
      <c r="M382" s="140"/>
      <c r="N382" s="136"/>
      <c r="O382" s="136"/>
      <c r="P382" s="136"/>
      <c r="Q382" s="136"/>
    </row>
    <row r="383" spans="4:17" ht="14.5" x14ac:dyDescent="0.35">
      <c r="D383" s="101"/>
      <c r="E383" s="142"/>
      <c r="F383" s="102"/>
      <c r="G383" s="135"/>
      <c r="H383" s="135"/>
      <c r="I383" s="135"/>
      <c r="J383" s="137"/>
      <c r="K383" s="136"/>
      <c r="L383" s="136"/>
      <c r="M383" s="136"/>
      <c r="N383" s="136"/>
      <c r="O383" s="136"/>
      <c r="P383" s="136"/>
      <c r="Q383" s="136"/>
    </row>
    <row r="384" spans="4:17" ht="14.5" x14ac:dyDescent="0.35">
      <c r="D384" s="101"/>
      <c r="E384" s="144"/>
      <c r="F384" s="102"/>
      <c r="G384" s="145"/>
      <c r="H384" s="145"/>
      <c r="I384" s="145"/>
      <c r="J384" s="147"/>
      <c r="K384" s="146"/>
      <c r="L384" s="146"/>
      <c r="M384" s="146"/>
      <c r="N384" s="148"/>
      <c r="O384" s="148"/>
      <c r="P384" s="148"/>
      <c r="Q384" s="148"/>
    </row>
    <row r="385" spans="4:17" ht="14.5" x14ac:dyDescent="0.35">
      <c r="D385" s="101"/>
      <c r="E385" s="144"/>
      <c r="F385" s="102"/>
      <c r="G385" s="145"/>
      <c r="H385" s="145"/>
      <c r="I385" s="145"/>
      <c r="J385" s="147"/>
      <c r="K385" s="146"/>
      <c r="L385" s="146"/>
      <c r="M385" s="146"/>
      <c r="N385" s="148"/>
      <c r="O385" s="148"/>
      <c r="P385" s="148"/>
      <c r="Q385" s="148"/>
    </row>
    <row r="386" spans="4:17" ht="14.5" x14ac:dyDescent="0.35">
      <c r="D386" s="101"/>
      <c r="E386" s="144"/>
      <c r="F386" s="102"/>
      <c r="G386" s="145"/>
      <c r="H386" s="145"/>
      <c r="I386" s="145"/>
      <c r="J386" s="147"/>
      <c r="K386" s="146"/>
      <c r="L386" s="146"/>
      <c r="M386" s="146"/>
      <c r="N386" s="148"/>
      <c r="O386" s="148"/>
      <c r="P386" s="148"/>
      <c r="Q386" s="148"/>
    </row>
    <row r="387" spans="4:17" ht="14.5" x14ac:dyDescent="0.35">
      <c r="D387" s="101"/>
      <c r="E387" s="144"/>
      <c r="F387" s="102"/>
      <c r="G387" s="145"/>
      <c r="H387" s="145"/>
      <c r="I387" s="145"/>
      <c r="J387" s="149"/>
      <c r="K387" s="148"/>
      <c r="L387" s="148"/>
      <c r="M387" s="148"/>
      <c r="N387" s="148"/>
      <c r="O387" s="148"/>
      <c r="P387" s="148"/>
      <c r="Q387" s="148"/>
    </row>
    <row r="388" spans="4:17" ht="14.5" x14ac:dyDescent="0.35">
      <c r="D388" s="101"/>
      <c r="E388" s="150"/>
      <c r="F388" s="102"/>
      <c r="G388" s="145"/>
      <c r="H388" s="151"/>
      <c r="I388" s="151"/>
      <c r="J388" s="147"/>
      <c r="K388" s="146"/>
      <c r="L388" s="146"/>
      <c r="M388" s="146"/>
      <c r="N388" s="148"/>
      <c r="O388" s="148"/>
      <c r="P388" s="148"/>
      <c r="Q388" s="148"/>
    </row>
    <row r="389" spans="4:17" ht="14.5" x14ac:dyDescent="0.35">
      <c r="D389" s="101"/>
      <c r="E389" s="144"/>
      <c r="F389" s="102"/>
      <c r="G389" s="145"/>
      <c r="H389" s="145"/>
      <c r="I389" s="145"/>
      <c r="J389" s="147"/>
      <c r="K389" s="146"/>
      <c r="L389" s="146"/>
      <c r="M389" s="146"/>
      <c r="N389" s="148"/>
      <c r="O389" s="148"/>
      <c r="P389" s="148"/>
      <c r="Q389" s="148"/>
    </row>
    <row r="390" spans="4:17" ht="14.5" x14ac:dyDescent="0.35">
      <c r="D390" s="101"/>
      <c r="E390" s="144"/>
      <c r="F390" s="102"/>
      <c r="G390" s="145"/>
      <c r="H390" s="145"/>
      <c r="I390" s="145"/>
      <c r="J390" s="147"/>
      <c r="K390" s="146"/>
      <c r="L390" s="146"/>
      <c r="M390" s="146"/>
      <c r="N390" s="148"/>
      <c r="O390" s="148"/>
      <c r="P390" s="148"/>
      <c r="Q390" s="148"/>
    </row>
    <row r="391" spans="4:17" ht="14.5" x14ac:dyDescent="0.35">
      <c r="D391" s="101"/>
      <c r="E391" s="150"/>
      <c r="F391" s="102"/>
      <c r="G391" s="145"/>
      <c r="H391" s="145"/>
      <c r="I391" s="145"/>
      <c r="J391" s="153"/>
      <c r="K391" s="154"/>
      <c r="L391" s="154"/>
      <c r="M391" s="154"/>
      <c r="N391" s="148"/>
      <c r="O391" s="148"/>
      <c r="P391" s="148"/>
      <c r="Q391" s="148"/>
    </row>
    <row r="392" spans="4:17" ht="14.5" x14ac:dyDescent="0.35">
      <c r="D392" s="101"/>
      <c r="E392" s="150"/>
      <c r="F392" s="102"/>
      <c r="G392" s="145"/>
      <c r="H392" s="145"/>
      <c r="I392" s="145"/>
      <c r="J392" s="153"/>
      <c r="K392" s="154"/>
      <c r="L392" s="152"/>
      <c r="M392" s="154"/>
      <c r="N392" s="148"/>
      <c r="O392" s="148"/>
      <c r="P392" s="148"/>
      <c r="Q392" s="148"/>
    </row>
    <row r="393" spans="4:17" ht="14.5" x14ac:dyDescent="0.35">
      <c r="D393" s="101"/>
      <c r="E393" s="150"/>
      <c r="F393" s="102"/>
      <c r="G393" s="145"/>
      <c r="H393" s="145"/>
      <c r="I393" s="145"/>
      <c r="J393" s="153"/>
      <c r="K393" s="154"/>
      <c r="L393" s="152"/>
      <c r="M393" s="154"/>
      <c r="N393" s="148"/>
      <c r="O393" s="148"/>
      <c r="P393" s="148"/>
      <c r="Q393" s="148"/>
    </row>
    <row r="394" spans="4:17" ht="14.5" x14ac:dyDescent="0.35">
      <c r="D394" s="101"/>
      <c r="E394" s="150"/>
      <c r="F394" s="102"/>
      <c r="G394" s="145"/>
      <c r="H394" s="145"/>
      <c r="I394" s="145"/>
      <c r="J394" s="153"/>
      <c r="K394" s="154"/>
      <c r="L394" s="152"/>
      <c r="M394" s="154"/>
      <c r="N394" s="148"/>
      <c r="O394" s="148"/>
      <c r="P394" s="148"/>
      <c r="Q394" s="148"/>
    </row>
    <row r="395" spans="4:17" ht="14.5" x14ac:dyDescent="0.35">
      <c r="D395" s="101"/>
      <c r="E395" s="150"/>
      <c r="F395" s="102"/>
      <c r="G395" s="145"/>
      <c r="H395" s="145"/>
      <c r="I395" s="145"/>
      <c r="J395" s="153"/>
      <c r="K395" s="154"/>
      <c r="L395" s="152"/>
      <c r="M395" s="152"/>
      <c r="N395" s="148"/>
      <c r="O395" s="148"/>
      <c r="P395" s="148"/>
      <c r="Q395" s="148"/>
    </row>
    <row r="396" spans="4:17" ht="14.5" x14ac:dyDescent="0.35">
      <c r="D396" s="101"/>
      <c r="E396" s="150"/>
      <c r="F396" s="102"/>
      <c r="G396" s="145"/>
      <c r="H396" s="145"/>
      <c r="I396" s="145"/>
      <c r="J396" s="153"/>
      <c r="K396" s="154"/>
      <c r="L396" s="152"/>
      <c r="M396" s="152"/>
      <c r="N396" s="148"/>
      <c r="O396" s="148"/>
      <c r="P396" s="148"/>
      <c r="Q396" s="148"/>
    </row>
    <row r="397" spans="4:17" ht="14.5" x14ac:dyDescent="0.35">
      <c r="D397" s="101"/>
      <c r="E397" s="155"/>
      <c r="F397" s="102"/>
      <c r="G397" s="156"/>
      <c r="H397" s="156"/>
      <c r="I397" s="156"/>
      <c r="J397" s="158"/>
      <c r="K397" s="157"/>
      <c r="L397" s="157"/>
      <c r="M397" s="157"/>
      <c r="N397" s="159"/>
      <c r="O397" s="159"/>
      <c r="P397" s="159"/>
      <c r="Q397" s="159"/>
    </row>
    <row r="398" spans="4:17" ht="14.5" x14ac:dyDescent="0.35">
      <c r="D398" s="101"/>
      <c r="E398" s="155"/>
      <c r="F398" s="102"/>
      <c r="G398" s="156"/>
      <c r="H398" s="156"/>
      <c r="I398" s="156"/>
      <c r="J398" s="158"/>
      <c r="K398" s="157"/>
      <c r="L398" s="157"/>
      <c r="M398" s="157"/>
      <c r="N398" s="159"/>
      <c r="O398" s="159"/>
      <c r="P398" s="159"/>
      <c r="Q398" s="159"/>
    </row>
    <row r="399" spans="4:17" ht="14.5" x14ac:dyDescent="0.35">
      <c r="D399" s="101"/>
      <c r="E399" s="155"/>
      <c r="F399" s="102"/>
      <c r="G399" s="156"/>
      <c r="H399" s="156"/>
      <c r="I399" s="156"/>
      <c r="J399" s="158"/>
      <c r="K399" s="157"/>
      <c r="L399" s="157"/>
      <c r="M399" s="157"/>
      <c r="N399" s="159"/>
      <c r="O399" s="159"/>
      <c r="P399" s="159"/>
      <c r="Q399" s="159"/>
    </row>
    <row r="400" spans="4:17" ht="14.5" x14ac:dyDescent="0.35">
      <c r="D400" s="101"/>
      <c r="E400" s="155"/>
      <c r="F400" s="102"/>
      <c r="G400" s="156"/>
      <c r="H400" s="156"/>
      <c r="I400" s="156"/>
      <c r="J400" s="158"/>
      <c r="K400" s="157"/>
      <c r="L400" s="157"/>
      <c r="M400" s="157"/>
      <c r="N400" s="159"/>
      <c r="O400" s="159"/>
      <c r="P400" s="159"/>
      <c r="Q400" s="159"/>
    </row>
    <row r="401" spans="4:17" ht="14.5" x14ac:dyDescent="0.35">
      <c r="D401" s="101"/>
      <c r="E401" s="155"/>
      <c r="F401" s="102"/>
      <c r="G401" s="156"/>
      <c r="H401" s="156"/>
      <c r="I401" s="156"/>
      <c r="J401" s="158"/>
      <c r="K401" s="157"/>
      <c r="L401" s="157"/>
      <c r="M401" s="157"/>
      <c r="N401" s="159"/>
      <c r="O401" s="159"/>
      <c r="P401" s="159"/>
      <c r="Q401" s="159"/>
    </row>
    <row r="402" spans="4:17" ht="14.5" x14ac:dyDescent="0.35">
      <c r="D402" s="101"/>
      <c r="E402" s="155"/>
      <c r="F402" s="102"/>
      <c r="G402" s="156"/>
      <c r="H402" s="156"/>
      <c r="I402" s="156"/>
      <c r="J402" s="158"/>
      <c r="K402" s="157"/>
      <c r="L402" s="157"/>
      <c r="M402" s="157"/>
      <c r="N402" s="159"/>
      <c r="O402" s="159"/>
      <c r="P402" s="159"/>
      <c r="Q402" s="159"/>
    </row>
    <row r="403" spans="4:17" ht="14.5" x14ac:dyDescent="0.35">
      <c r="D403" s="101"/>
      <c r="E403" s="155"/>
      <c r="F403" s="102"/>
      <c r="G403" s="156"/>
      <c r="H403" s="156"/>
      <c r="I403" s="156"/>
      <c r="J403" s="158"/>
      <c r="K403" s="157"/>
      <c r="L403" s="157"/>
      <c r="M403" s="157"/>
      <c r="N403" s="159"/>
      <c r="O403" s="159"/>
      <c r="P403" s="159"/>
      <c r="Q403" s="159"/>
    </row>
    <row r="404" spans="4:17" ht="14.5" x14ac:dyDescent="0.35">
      <c r="D404" s="101"/>
      <c r="E404" s="160"/>
      <c r="F404" s="102"/>
      <c r="G404" s="161"/>
      <c r="H404" s="161"/>
      <c r="I404" s="161"/>
      <c r="J404" s="158"/>
      <c r="K404" s="157"/>
      <c r="L404" s="157"/>
      <c r="M404" s="157"/>
      <c r="N404" s="159"/>
      <c r="O404" s="159"/>
      <c r="P404" s="159"/>
      <c r="Q404" s="159"/>
    </row>
    <row r="405" spans="4:17" ht="14.5" x14ac:dyDescent="0.35">
      <c r="D405" s="101"/>
      <c r="E405" s="160"/>
      <c r="F405" s="102"/>
      <c r="G405" s="161"/>
      <c r="H405" s="161"/>
      <c r="I405" s="161"/>
      <c r="J405" s="158"/>
      <c r="K405" s="157"/>
      <c r="L405" s="157"/>
      <c r="M405" s="157"/>
      <c r="N405" s="159"/>
      <c r="O405" s="159"/>
      <c r="P405" s="159"/>
      <c r="Q405" s="159"/>
    </row>
    <row r="406" spans="4:17" ht="14.5" x14ac:dyDescent="0.35">
      <c r="D406" s="101"/>
      <c r="E406" s="160"/>
      <c r="F406" s="102"/>
      <c r="G406" s="156"/>
      <c r="H406" s="156"/>
      <c r="I406" s="156"/>
      <c r="J406" s="158"/>
      <c r="K406" s="157"/>
      <c r="L406" s="157"/>
      <c r="M406" s="157"/>
      <c r="N406" s="159"/>
      <c r="O406" s="159"/>
      <c r="P406" s="159"/>
      <c r="Q406" s="159"/>
    </row>
    <row r="407" spans="4:17" ht="14.5" x14ac:dyDescent="0.35">
      <c r="D407" s="101"/>
      <c r="E407" s="160"/>
      <c r="F407" s="102"/>
      <c r="G407" s="156"/>
      <c r="H407" s="156"/>
      <c r="I407" s="156"/>
      <c r="J407" s="158"/>
      <c r="K407" s="157"/>
      <c r="L407" s="157"/>
      <c r="M407" s="157"/>
      <c r="N407" s="159"/>
      <c r="O407" s="159"/>
      <c r="P407" s="159"/>
      <c r="Q407" s="159"/>
    </row>
    <row r="408" spans="4:17" ht="14.5" x14ac:dyDescent="0.35">
      <c r="D408" s="101"/>
      <c r="E408" s="160"/>
      <c r="F408" s="102"/>
      <c r="G408" s="156"/>
      <c r="H408" s="156"/>
      <c r="I408" s="156"/>
      <c r="J408" s="158"/>
      <c r="K408" s="157"/>
      <c r="L408" s="157"/>
      <c r="M408" s="157"/>
      <c r="N408" s="159"/>
      <c r="O408" s="159"/>
      <c r="P408" s="159"/>
      <c r="Q408" s="159"/>
    </row>
    <row r="409" spans="4:17" ht="14.5" x14ac:dyDescent="0.35">
      <c r="D409" s="101"/>
      <c r="E409" s="162"/>
      <c r="F409" s="102"/>
      <c r="G409" s="156"/>
      <c r="H409" s="156"/>
      <c r="I409" s="156"/>
      <c r="J409" s="164"/>
      <c r="K409" s="165"/>
      <c r="L409" s="163"/>
      <c r="M409" s="163"/>
      <c r="N409" s="159"/>
      <c r="O409" s="159"/>
      <c r="P409" s="159"/>
      <c r="Q409" s="159"/>
    </row>
    <row r="410" spans="4:17" ht="14.5" x14ac:dyDescent="0.35">
      <c r="D410" s="101"/>
      <c r="E410" s="162"/>
      <c r="F410" s="102"/>
      <c r="G410" s="156"/>
      <c r="H410" s="156"/>
      <c r="I410" s="156"/>
      <c r="J410" s="164"/>
      <c r="K410" s="165"/>
      <c r="L410" s="163"/>
      <c r="M410" s="163"/>
      <c r="N410" s="159"/>
      <c r="O410" s="159"/>
      <c r="P410" s="159"/>
      <c r="Q410" s="159"/>
    </row>
    <row r="411" spans="4:17" ht="14.5" x14ac:dyDescent="0.35">
      <c r="D411" s="101"/>
      <c r="E411" s="162"/>
      <c r="F411" s="102"/>
      <c r="G411" s="156"/>
      <c r="H411" s="156"/>
      <c r="I411" s="156"/>
      <c r="J411" s="164"/>
      <c r="K411" s="165"/>
      <c r="L411" s="163"/>
      <c r="M411" s="163"/>
      <c r="N411" s="159"/>
      <c r="O411" s="159"/>
      <c r="P411" s="159"/>
      <c r="Q411" s="159"/>
    </row>
    <row r="412" spans="4:17" ht="14.5" x14ac:dyDescent="0.35">
      <c r="D412" s="101"/>
      <c r="E412" s="162"/>
      <c r="F412" s="102"/>
      <c r="G412" s="156"/>
      <c r="H412" s="156"/>
      <c r="I412" s="156"/>
      <c r="J412" s="164"/>
      <c r="K412" s="165"/>
      <c r="L412" s="163"/>
      <c r="M412" s="163"/>
      <c r="N412" s="159"/>
      <c r="O412" s="159"/>
      <c r="P412" s="159"/>
      <c r="Q412" s="159"/>
    </row>
    <row r="413" spans="4:17" ht="14.5" x14ac:dyDescent="0.35">
      <c r="D413" s="101"/>
      <c r="E413" s="162"/>
      <c r="F413" s="102"/>
      <c r="G413" s="156"/>
      <c r="H413" s="156"/>
      <c r="I413" s="156"/>
      <c r="J413" s="164"/>
      <c r="K413" s="165"/>
      <c r="L413" s="163"/>
      <c r="M413" s="163"/>
      <c r="N413" s="159"/>
      <c r="O413" s="159"/>
      <c r="P413" s="159"/>
      <c r="Q413" s="159"/>
    </row>
    <row r="414" spans="4:17" ht="14.5" x14ac:dyDescent="0.35">
      <c r="D414" s="101"/>
      <c r="E414" s="162"/>
      <c r="F414" s="102"/>
      <c r="G414" s="156"/>
      <c r="H414" s="156"/>
      <c r="I414" s="156"/>
      <c r="J414" s="164"/>
      <c r="K414" s="165"/>
      <c r="L414" s="163"/>
      <c r="M414" s="163"/>
      <c r="N414" s="159"/>
      <c r="O414" s="159"/>
      <c r="P414" s="159"/>
      <c r="Q414" s="159"/>
    </row>
    <row r="415" spans="4:17" ht="14.5" x14ac:dyDescent="0.35">
      <c r="D415" s="101"/>
      <c r="E415" s="162"/>
      <c r="F415" s="102"/>
      <c r="G415" s="156"/>
      <c r="H415" s="156"/>
      <c r="I415" s="156"/>
      <c r="J415" s="164"/>
      <c r="K415" s="165"/>
      <c r="L415" s="163"/>
      <c r="M415" s="163"/>
      <c r="N415" s="159"/>
      <c r="O415" s="159"/>
      <c r="P415" s="159"/>
      <c r="Q415" s="159"/>
    </row>
    <row r="416" spans="4:17" ht="14.5" x14ac:dyDescent="0.35">
      <c r="D416" s="101"/>
      <c r="E416" s="162"/>
      <c r="F416" s="102"/>
      <c r="G416" s="156"/>
      <c r="H416" s="156"/>
      <c r="I416" s="156"/>
      <c r="J416" s="164"/>
      <c r="K416" s="165"/>
      <c r="L416" s="163"/>
      <c r="M416" s="163"/>
      <c r="N416" s="159"/>
      <c r="O416" s="159"/>
      <c r="P416" s="159"/>
      <c r="Q416" s="159"/>
    </row>
    <row r="417" spans="4:17" ht="14.5" x14ac:dyDescent="0.35">
      <c r="D417" s="101"/>
      <c r="E417" s="162"/>
      <c r="F417" s="102"/>
      <c r="G417" s="156"/>
      <c r="H417" s="156"/>
      <c r="I417" s="156"/>
      <c r="J417" s="164"/>
      <c r="K417" s="165"/>
      <c r="L417" s="163"/>
      <c r="M417" s="163"/>
      <c r="N417" s="159"/>
      <c r="O417" s="159"/>
      <c r="P417" s="159"/>
      <c r="Q417" s="159"/>
    </row>
    <row r="418" spans="4:17" ht="14.5" x14ac:dyDescent="0.35">
      <c r="D418" s="101"/>
      <c r="E418" s="162"/>
      <c r="F418" s="102"/>
      <c r="G418" s="156"/>
      <c r="H418" s="156"/>
      <c r="I418" s="156"/>
      <c r="J418" s="164"/>
      <c r="K418" s="165"/>
      <c r="L418" s="163"/>
      <c r="M418" s="163"/>
      <c r="N418" s="159"/>
      <c r="O418" s="159"/>
      <c r="P418" s="159"/>
      <c r="Q418" s="159"/>
    </row>
    <row r="419" spans="4:17" ht="14.5" x14ac:dyDescent="0.35">
      <c r="D419" s="101"/>
      <c r="E419" s="160"/>
      <c r="F419" s="102"/>
      <c r="G419" s="156"/>
      <c r="H419" s="156"/>
      <c r="I419" s="156"/>
      <c r="J419" s="158"/>
      <c r="K419" s="157"/>
      <c r="L419" s="157"/>
      <c r="M419" s="157"/>
      <c r="N419" s="159"/>
      <c r="O419" s="159"/>
      <c r="P419" s="159"/>
      <c r="Q419" s="159"/>
    </row>
    <row r="420" spans="4:17" ht="14.5" x14ac:dyDescent="0.35">
      <c r="D420" s="101"/>
      <c r="E420" s="160"/>
      <c r="F420" s="102"/>
      <c r="G420" s="156"/>
      <c r="H420" s="156"/>
      <c r="I420" s="156"/>
      <c r="J420" s="158"/>
      <c r="K420" s="157"/>
      <c r="L420" s="157"/>
      <c r="M420" s="157"/>
      <c r="N420" s="159"/>
      <c r="O420" s="159"/>
      <c r="P420" s="159"/>
      <c r="Q420" s="159"/>
    </row>
    <row r="421" spans="4:17" ht="14.5" x14ac:dyDescent="0.35">
      <c r="D421" s="101"/>
      <c r="E421" s="160"/>
      <c r="F421" s="102"/>
      <c r="G421" s="156"/>
      <c r="H421" s="156"/>
      <c r="I421" s="156"/>
      <c r="J421" s="158"/>
      <c r="K421" s="157"/>
      <c r="L421" s="157"/>
      <c r="M421" s="157"/>
      <c r="N421" s="159"/>
      <c r="O421" s="159"/>
      <c r="P421" s="159"/>
      <c r="Q421" s="159"/>
    </row>
    <row r="422" spans="4:17" ht="14.5" x14ac:dyDescent="0.35">
      <c r="D422" s="101"/>
      <c r="E422" s="155"/>
      <c r="F422" s="102"/>
      <c r="G422" s="156"/>
      <c r="H422" s="156"/>
      <c r="I422" s="156"/>
      <c r="J422" s="166"/>
      <c r="K422" s="159"/>
      <c r="L422" s="159"/>
      <c r="M422" s="159"/>
      <c r="N422" s="159"/>
      <c r="O422" s="159"/>
      <c r="P422" s="159"/>
      <c r="Q422" s="159"/>
    </row>
    <row r="423" spans="4:17" ht="14.5" x14ac:dyDescent="0.35">
      <c r="D423" s="101"/>
      <c r="E423" s="155"/>
      <c r="F423" s="102"/>
      <c r="G423" s="156"/>
      <c r="H423" s="156"/>
      <c r="I423" s="156"/>
      <c r="J423" s="158"/>
      <c r="K423" s="157"/>
      <c r="L423" s="157"/>
      <c r="M423" s="157"/>
      <c r="N423" s="159"/>
      <c r="O423" s="159"/>
      <c r="P423" s="159"/>
      <c r="Q423" s="159"/>
    </row>
    <row r="424" spans="4:17" ht="14.5" x14ac:dyDescent="0.35">
      <c r="D424" s="101"/>
      <c r="E424" s="155"/>
      <c r="F424" s="102"/>
      <c r="G424" s="156"/>
      <c r="H424" s="156"/>
      <c r="I424" s="156"/>
      <c r="J424" s="158"/>
      <c r="K424" s="157"/>
      <c r="L424" s="157"/>
      <c r="M424" s="157"/>
      <c r="N424" s="159"/>
      <c r="O424" s="159"/>
      <c r="P424" s="159"/>
      <c r="Q424" s="159"/>
    </row>
    <row r="425" spans="4:17" ht="14.5" x14ac:dyDescent="0.35">
      <c r="D425" s="101"/>
      <c r="E425" s="155"/>
      <c r="F425" s="102"/>
      <c r="G425" s="156"/>
      <c r="H425" s="156"/>
      <c r="I425" s="156"/>
      <c r="J425" s="158"/>
      <c r="K425" s="157"/>
      <c r="L425" s="157"/>
      <c r="M425" s="157"/>
      <c r="N425" s="159"/>
      <c r="O425" s="159"/>
      <c r="P425" s="159"/>
      <c r="Q425" s="159"/>
    </row>
    <row r="426" spans="4:17" ht="14.5" x14ac:dyDescent="0.35">
      <c r="D426" s="101"/>
      <c r="E426" s="155"/>
      <c r="F426" s="102"/>
      <c r="G426" s="156"/>
      <c r="H426" s="156"/>
      <c r="I426" s="156"/>
      <c r="J426" s="158"/>
      <c r="K426" s="157"/>
      <c r="L426" s="157"/>
      <c r="M426" s="157"/>
      <c r="N426" s="159"/>
      <c r="O426" s="159"/>
      <c r="P426" s="159"/>
      <c r="Q426" s="159"/>
    </row>
    <row r="427" spans="4:17" ht="14.5" x14ac:dyDescent="0.35">
      <c r="D427" s="101"/>
      <c r="E427" s="155"/>
      <c r="F427" s="102"/>
      <c r="G427" s="156"/>
      <c r="H427" s="156"/>
      <c r="I427" s="156"/>
      <c r="J427" s="158"/>
      <c r="K427" s="157"/>
      <c r="L427" s="157"/>
      <c r="M427" s="157"/>
      <c r="N427" s="159"/>
      <c r="O427" s="159"/>
      <c r="P427" s="159"/>
      <c r="Q427" s="159"/>
    </row>
    <row r="428" spans="4:17" ht="14.5" x14ac:dyDescent="0.35">
      <c r="D428" s="101"/>
      <c r="E428" s="160"/>
      <c r="F428" s="102"/>
      <c r="G428" s="161"/>
      <c r="H428" s="161"/>
      <c r="I428" s="161"/>
      <c r="J428" s="158"/>
      <c r="K428" s="157"/>
      <c r="L428" s="157"/>
      <c r="M428" s="157"/>
      <c r="N428" s="159"/>
      <c r="O428" s="159"/>
      <c r="P428" s="159"/>
      <c r="Q428" s="159"/>
    </row>
    <row r="429" spans="4:17" ht="14.5" x14ac:dyDescent="0.35">
      <c r="D429" s="101"/>
      <c r="E429" s="162"/>
      <c r="F429" s="102"/>
      <c r="G429" s="156"/>
      <c r="H429" s="156"/>
      <c r="I429" s="156"/>
      <c r="J429" s="164"/>
      <c r="K429" s="165"/>
      <c r="L429" s="163"/>
      <c r="M429" s="163"/>
      <c r="N429" s="159"/>
      <c r="O429" s="159"/>
      <c r="P429" s="159"/>
      <c r="Q429" s="159"/>
    </row>
    <row r="430" spans="4:17" ht="14.5" x14ac:dyDescent="0.35">
      <c r="D430" s="101"/>
      <c r="E430" s="162"/>
      <c r="F430" s="102"/>
      <c r="G430" s="156"/>
      <c r="H430" s="156"/>
      <c r="I430" s="156"/>
      <c r="J430" s="164"/>
      <c r="K430" s="165"/>
      <c r="L430" s="163"/>
      <c r="M430" s="163"/>
      <c r="N430" s="159"/>
      <c r="O430" s="159"/>
      <c r="P430" s="159"/>
      <c r="Q430" s="159"/>
    </row>
    <row r="431" spans="4:17" ht="14.5" x14ac:dyDescent="0.35">
      <c r="D431" s="101"/>
      <c r="E431" s="162"/>
      <c r="F431" s="102"/>
      <c r="G431" s="156"/>
      <c r="H431" s="156"/>
      <c r="I431" s="156"/>
      <c r="J431" s="164"/>
      <c r="K431" s="165"/>
      <c r="L431" s="163"/>
      <c r="M431" s="163"/>
      <c r="N431" s="159"/>
      <c r="O431" s="159"/>
      <c r="P431" s="159"/>
      <c r="Q431" s="159"/>
    </row>
    <row r="432" spans="4:17" ht="14.5" x14ac:dyDescent="0.35">
      <c r="D432" s="101"/>
      <c r="E432" s="162"/>
      <c r="F432" s="102"/>
      <c r="G432" s="156"/>
      <c r="H432" s="156"/>
      <c r="I432" s="156"/>
      <c r="J432" s="164"/>
      <c r="K432" s="165"/>
      <c r="L432" s="165"/>
      <c r="M432" s="165"/>
      <c r="N432" s="159"/>
      <c r="O432" s="159"/>
      <c r="P432" s="159"/>
      <c r="Q432" s="159"/>
    </row>
    <row r="433" spans="4:17" ht="14.5" x14ac:dyDescent="0.35">
      <c r="D433" s="101"/>
      <c r="E433" s="162"/>
      <c r="F433" s="102"/>
      <c r="G433" s="156"/>
      <c r="H433" s="156"/>
      <c r="I433" s="156"/>
      <c r="J433" s="164"/>
      <c r="K433" s="165"/>
      <c r="L433" s="165"/>
      <c r="M433" s="165"/>
      <c r="N433" s="159"/>
      <c r="O433" s="159"/>
      <c r="P433" s="159"/>
      <c r="Q433" s="159"/>
    </row>
    <row r="434" spans="4:17" ht="14.5" x14ac:dyDescent="0.35">
      <c r="D434" s="101"/>
      <c r="E434" s="162"/>
      <c r="F434" s="102"/>
      <c r="G434" s="156"/>
      <c r="H434" s="156"/>
      <c r="I434" s="156"/>
      <c r="J434" s="164"/>
      <c r="K434" s="165"/>
      <c r="L434" s="163"/>
      <c r="M434" s="165"/>
      <c r="N434" s="159"/>
      <c r="O434" s="159"/>
      <c r="P434" s="159"/>
      <c r="Q434" s="159"/>
    </row>
    <row r="435" spans="4:17" ht="14.5" x14ac:dyDescent="0.35">
      <c r="D435" s="101"/>
      <c r="E435" s="162"/>
      <c r="F435" s="102"/>
      <c r="G435" s="156"/>
      <c r="H435" s="156"/>
      <c r="I435" s="156"/>
      <c r="J435" s="164"/>
      <c r="K435" s="165"/>
      <c r="L435" s="163"/>
      <c r="M435" s="165"/>
      <c r="N435" s="159"/>
      <c r="O435" s="159"/>
      <c r="P435" s="159"/>
      <c r="Q435" s="159"/>
    </row>
    <row r="436" spans="4:17" ht="14.5" x14ac:dyDescent="0.35">
      <c r="D436" s="101"/>
      <c r="E436" s="162"/>
      <c r="F436" s="102"/>
      <c r="G436" s="156"/>
      <c r="H436" s="156"/>
      <c r="I436" s="156"/>
      <c r="J436" s="164"/>
      <c r="K436" s="165"/>
      <c r="L436" s="163"/>
      <c r="M436" s="165"/>
      <c r="N436" s="159"/>
      <c r="O436" s="159"/>
      <c r="P436" s="159"/>
      <c r="Q436" s="159"/>
    </row>
    <row r="437" spans="4:17" ht="14.5" x14ac:dyDescent="0.35">
      <c r="D437" s="101"/>
      <c r="E437" s="162"/>
      <c r="F437" s="102"/>
      <c r="G437" s="156"/>
      <c r="H437" s="156"/>
      <c r="I437" s="156"/>
      <c r="J437" s="164"/>
      <c r="K437" s="165"/>
      <c r="L437" s="163"/>
      <c r="M437" s="165"/>
      <c r="N437" s="159"/>
      <c r="O437" s="159"/>
      <c r="P437" s="159"/>
      <c r="Q437" s="159"/>
    </row>
    <row r="438" spans="4:17" ht="14.5" x14ac:dyDescent="0.35">
      <c r="D438" s="101"/>
      <c r="E438" s="162"/>
      <c r="F438" s="102"/>
      <c r="G438" s="156"/>
      <c r="H438" s="156"/>
      <c r="I438" s="156"/>
      <c r="J438" s="164"/>
      <c r="K438" s="165"/>
      <c r="L438" s="163"/>
      <c r="M438" s="165"/>
      <c r="N438" s="159"/>
      <c r="O438" s="159"/>
      <c r="P438" s="159"/>
      <c r="Q438" s="159"/>
    </row>
    <row r="439" spans="4:17" ht="14.5" x14ac:dyDescent="0.35">
      <c r="D439" s="101"/>
      <c r="E439" s="162"/>
      <c r="F439" s="102"/>
      <c r="G439" s="156"/>
      <c r="H439" s="156"/>
      <c r="I439" s="156"/>
      <c r="J439" s="164"/>
      <c r="K439" s="165"/>
      <c r="L439" s="165"/>
      <c r="M439" s="165"/>
      <c r="N439" s="159"/>
      <c r="O439" s="159"/>
      <c r="P439" s="159"/>
      <c r="Q439" s="159"/>
    </row>
    <row r="440" spans="4:17" ht="14.5" x14ac:dyDescent="0.35">
      <c r="D440" s="101"/>
      <c r="E440" s="162"/>
      <c r="F440" s="102"/>
      <c r="G440" s="156"/>
      <c r="H440" s="156"/>
      <c r="I440" s="156"/>
      <c r="J440" s="164"/>
      <c r="K440" s="165"/>
      <c r="L440" s="163"/>
      <c r="M440" s="165"/>
      <c r="N440" s="159"/>
      <c r="O440" s="159"/>
      <c r="P440" s="159"/>
      <c r="Q440" s="159"/>
    </row>
    <row r="441" spans="4:17" ht="14.5" x14ac:dyDescent="0.35">
      <c r="D441" s="101"/>
      <c r="E441" s="167"/>
      <c r="F441" s="102"/>
      <c r="G441" s="168"/>
      <c r="H441" s="168"/>
      <c r="I441" s="168"/>
      <c r="J441" s="169"/>
      <c r="K441" s="168"/>
      <c r="L441" s="168"/>
      <c r="M441" s="168"/>
      <c r="N441" s="168"/>
      <c r="O441" s="168"/>
      <c r="P441" s="168"/>
      <c r="Q441" s="168"/>
    </row>
    <row r="442" spans="4:17" ht="14.5" x14ac:dyDescent="0.35">
      <c r="D442" s="101"/>
      <c r="E442" s="160"/>
      <c r="F442" s="102"/>
      <c r="G442" s="156"/>
      <c r="H442" s="156"/>
      <c r="I442" s="156"/>
      <c r="J442" s="158"/>
      <c r="K442" s="157"/>
      <c r="L442" s="157"/>
      <c r="M442" s="157"/>
      <c r="N442" s="159"/>
      <c r="O442" s="159"/>
      <c r="P442" s="159"/>
      <c r="Q442" s="159"/>
    </row>
    <row r="443" spans="4:17" ht="14.5" x14ac:dyDescent="0.35">
      <c r="D443" s="101"/>
      <c r="E443" s="160"/>
      <c r="F443" s="102"/>
      <c r="G443" s="156"/>
      <c r="H443" s="156"/>
      <c r="I443" s="156"/>
      <c r="J443" s="166"/>
      <c r="K443" s="159"/>
      <c r="L443" s="159"/>
      <c r="M443" s="159"/>
      <c r="N443" s="159"/>
      <c r="O443" s="159"/>
      <c r="P443" s="159"/>
      <c r="Q443" s="159"/>
    </row>
    <row r="444" spans="4:17" ht="14.5" x14ac:dyDescent="0.35">
      <c r="D444" s="101"/>
      <c r="E444" s="160"/>
      <c r="F444" s="102"/>
      <c r="G444" s="156"/>
      <c r="H444" s="156"/>
      <c r="I444" s="156"/>
      <c r="J444" s="158"/>
      <c r="K444" s="157"/>
      <c r="L444" s="157"/>
      <c r="M444" s="157"/>
      <c r="N444" s="159"/>
      <c r="O444" s="159"/>
      <c r="P444" s="159"/>
      <c r="Q444" s="159"/>
    </row>
    <row r="445" spans="4:17" ht="14.5" x14ac:dyDescent="0.35">
      <c r="D445" s="101"/>
      <c r="E445" s="160"/>
      <c r="F445" s="102"/>
      <c r="G445" s="156"/>
      <c r="H445" s="156"/>
      <c r="I445" s="156"/>
      <c r="J445" s="158"/>
      <c r="K445" s="157"/>
      <c r="L445" s="157"/>
      <c r="M445" s="157"/>
      <c r="N445" s="159"/>
      <c r="O445" s="159"/>
      <c r="P445" s="159"/>
      <c r="Q445" s="159"/>
    </row>
    <row r="446" spans="4:17" ht="14.5" x14ac:dyDescent="0.35">
      <c r="D446" s="101"/>
      <c r="E446" s="160"/>
      <c r="F446" s="102"/>
      <c r="G446" s="156"/>
      <c r="H446" s="156"/>
      <c r="I446" s="156"/>
      <c r="J446" s="166"/>
      <c r="K446" s="159"/>
      <c r="L446" s="159"/>
      <c r="M446" s="159"/>
      <c r="N446" s="159"/>
      <c r="O446" s="159"/>
      <c r="P446" s="159"/>
      <c r="Q446" s="159"/>
    </row>
    <row r="447" spans="4:17" ht="14.5" x14ac:dyDescent="0.35">
      <c r="D447" s="101"/>
      <c r="E447" s="155"/>
      <c r="F447" s="102"/>
      <c r="G447" s="156"/>
      <c r="H447" s="156"/>
      <c r="I447" s="156"/>
      <c r="J447" s="158"/>
      <c r="K447" s="157"/>
      <c r="L447" s="157"/>
      <c r="M447" s="157"/>
      <c r="N447" s="159"/>
      <c r="O447" s="159"/>
      <c r="P447" s="159"/>
      <c r="Q447" s="159"/>
    </row>
    <row r="448" spans="4:17" ht="14.5" x14ac:dyDescent="0.35">
      <c r="D448" s="101"/>
      <c r="E448" s="155"/>
      <c r="F448" s="102"/>
      <c r="G448" s="156"/>
      <c r="H448" s="156"/>
      <c r="I448" s="156"/>
      <c r="J448" s="158"/>
      <c r="K448" s="157"/>
      <c r="L448" s="157"/>
      <c r="M448" s="157"/>
      <c r="N448" s="159"/>
      <c r="O448" s="159"/>
      <c r="P448" s="159"/>
      <c r="Q448" s="159"/>
    </row>
    <row r="449" spans="4:17" ht="14.5" x14ac:dyDescent="0.35">
      <c r="D449" s="101"/>
      <c r="E449" s="155"/>
      <c r="F449" s="102"/>
      <c r="G449" s="156"/>
      <c r="H449" s="156"/>
      <c r="I449" s="156"/>
      <c r="J449" s="158"/>
      <c r="K449" s="157"/>
      <c r="L449" s="157"/>
      <c r="M449" s="157"/>
      <c r="N449" s="159"/>
      <c r="O449" s="159"/>
      <c r="P449" s="159"/>
      <c r="Q449" s="159"/>
    </row>
    <row r="450" spans="4:17" ht="14.5" x14ac:dyDescent="0.35">
      <c r="D450" s="101"/>
      <c r="E450" s="155"/>
      <c r="F450" s="102"/>
      <c r="G450" s="156"/>
      <c r="H450" s="156"/>
      <c r="I450" s="156"/>
      <c r="J450" s="158"/>
      <c r="K450" s="157"/>
      <c r="L450" s="157"/>
      <c r="M450" s="157"/>
      <c r="N450" s="159"/>
      <c r="O450" s="159"/>
      <c r="P450" s="159"/>
      <c r="Q450" s="159"/>
    </row>
    <row r="451" spans="4:17" ht="14.5" x14ac:dyDescent="0.35">
      <c r="D451" s="101"/>
      <c r="E451" s="167"/>
      <c r="F451" s="102"/>
      <c r="G451" s="168"/>
      <c r="H451" s="168"/>
      <c r="I451" s="168"/>
      <c r="J451" s="169"/>
      <c r="K451" s="168"/>
      <c r="L451" s="168"/>
      <c r="M451" s="168"/>
      <c r="N451" s="168"/>
      <c r="O451" s="168"/>
      <c r="P451" s="168"/>
      <c r="Q451" s="168"/>
    </row>
    <row r="452" spans="4:17" ht="14.5" x14ac:dyDescent="0.35">
      <c r="D452" s="101"/>
      <c r="E452" s="167"/>
      <c r="F452" s="102"/>
      <c r="G452" s="168"/>
      <c r="H452" s="168"/>
      <c r="I452" s="168"/>
      <c r="J452" s="169"/>
      <c r="K452" s="168"/>
      <c r="L452" s="168"/>
      <c r="M452" s="168"/>
      <c r="N452" s="168"/>
      <c r="O452" s="168"/>
      <c r="P452" s="168"/>
      <c r="Q452" s="168"/>
    </row>
    <row r="453" spans="4:17" ht="14.5" x14ac:dyDescent="0.35">
      <c r="D453" s="101"/>
      <c r="E453" s="167"/>
      <c r="F453" s="102"/>
      <c r="G453" s="168"/>
      <c r="H453" s="168"/>
      <c r="I453" s="168"/>
      <c r="J453" s="169"/>
      <c r="K453" s="168"/>
      <c r="L453" s="168"/>
      <c r="M453" s="168"/>
      <c r="N453" s="168"/>
      <c r="O453" s="168"/>
      <c r="P453" s="168"/>
      <c r="Q453" s="168"/>
    </row>
    <row r="454" spans="4:17" ht="14.5" x14ac:dyDescent="0.35">
      <c r="D454" s="101"/>
      <c r="E454" s="167"/>
      <c r="F454" s="102"/>
      <c r="G454" s="168"/>
      <c r="H454" s="168"/>
      <c r="I454" s="168"/>
      <c r="J454" s="169"/>
      <c r="K454" s="168"/>
      <c r="L454" s="168"/>
      <c r="M454" s="168"/>
      <c r="N454" s="168"/>
      <c r="O454" s="168"/>
      <c r="P454" s="168"/>
      <c r="Q454" s="168"/>
    </row>
    <row r="455" spans="4:17" ht="14.5" x14ac:dyDescent="0.35">
      <c r="D455" s="101"/>
      <c r="E455" s="167"/>
      <c r="F455" s="102"/>
      <c r="G455" s="168"/>
      <c r="H455" s="168"/>
      <c r="I455" s="168"/>
      <c r="J455" s="169"/>
      <c r="K455" s="168"/>
      <c r="L455" s="168"/>
      <c r="M455" s="168"/>
      <c r="N455" s="168"/>
      <c r="O455" s="168"/>
      <c r="P455" s="168"/>
      <c r="Q455" s="168"/>
    </row>
    <row r="456" spans="4:17" ht="14.5" x14ac:dyDescent="0.35">
      <c r="D456" s="101"/>
      <c r="E456" s="167"/>
      <c r="F456" s="102"/>
      <c r="G456" s="168"/>
      <c r="H456" s="168"/>
      <c r="I456" s="168"/>
      <c r="J456" s="169"/>
      <c r="K456" s="168"/>
      <c r="L456" s="168"/>
      <c r="M456" s="168"/>
      <c r="N456" s="168"/>
      <c r="O456" s="168"/>
      <c r="P456" s="168"/>
      <c r="Q456" s="168"/>
    </row>
    <row r="457" spans="4:17" ht="14.5" x14ac:dyDescent="0.35">
      <c r="D457" s="101"/>
      <c r="E457" s="167"/>
      <c r="F457" s="102"/>
      <c r="G457" s="168"/>
      <c r="H457" s="168"/>
      <c r="I457" s="168"/>
      <c r="J457" s="169"/>
      <c r="K457" s="168"/>
      <c r="L457" s="168"/>
      <c r="M457" s="168"/>
      <c r="N457" s="168"/>
      <c r="O457" s="168"/>
      <c r="P457" s="168"/>
      <c r="Q457" s="168"/>
    </row>
    <row r="458" spans="4:17" ht="14.5" x14ac:dyDescent="0.35">
      <c r="D458" s="101"/>
      <c r="E458" s="167"/>
      <c r="F458" s="102"/>
      <c r="G458" s="168"/>
      <c r="H458" s="168"/>
      <c r="I458" s="168"/>
      <c r="J458" s="169"/>
      <c r="K458" s="168"/>
      <c r="L458" s="168"/>
      <c r="M458" s="168"/>
      <c r="N458" s="168"/>
      <c r="O458" s="168"/>
      <c r="P458" s="168"/>
      <c r="Q458" s="168"/>
    </row>
    <row r="459" spans="4:17" ht="14.5" x14ac:dyDescent="0.35">
      <c r="D459" s="101"/>
      <c r="E459" s="155"/>
      <c r="F459" s="102"/>
      <c r="G459" s="156"/>
      <c r="H459" s="156"/>
      <c r="I459" s="156"/>
      <c r="J459" s="158"/>
      <c r="K459" s="157"/>
      <c r="L459" s="157"/>
      <c r="M459" s="157"/>
      <c r="N459" s="159"/>
      <c r="O459" s="159"/>
      <c r="P459" s="159"/>
      <c r="Q459" s="159"/>
    </row>
    <row r="460" spans="4:17" ht="14.5" x14ac:dyDescent="0.35">
      <c r="D460" s="101"/>
      <c r="E460" s="155"/>
      <c r="F460" s="102"/>
      <c r="G460" s="156"/>
      <c r="H460" s="156"/>
      <c r="I460" s="156"/>
      <c r="J460" s="158"/>
      <c r="K460" s="157"/>
      <c r="L460" s="157"/>
      <c r="M460" s="157"/>
      <c r="N460" s="159"/>
      <c r="O460" s="159"/>
      <c r="P460" s="159"/>
      <c r="Q460" s="159"/>
    </row>
    <row r="461" spans="4:17" ht="14.5" x14ac:dyDescent="0.35">
      <c r="D461" s="101"/>
      <c r="E461" s="155"/>
      <c r="F461" s="102"/>
      <c r="G461" s="156"/>
      <c r="H461" s="156"/>
      <c r="I461" s="156"/>
      <c r="J461" s="158"/>
      <c r="K461" s="157"/>
      <c r="L461" s="157"/>
      <c r="M461" s="157"/>
      <c r="N461" s="159"/>
      <c r="O461" s="159"/>
      <c r="P461" s="159"/>
      <c r="Q461" s="159"/>
    </row>
    <row r="462" spans="4:17" ht="14.5" x14ac:dyDescent="0.35">
      <c r="D462" s="101"/>
      <c r="E462" s="155"/>
      <c r="F462" s="102"/>
      <c r="G462" s="156"/>
      <c r="H462" s="156"/>
      <c r="I462" s="156"/>
      <c r="J462" s="158"/>
      <c r="K462" s="157"/>
      <c r="L462" s="157"/>
      <c r="M462" s="157"/>
      <c r="N462" s="159"/>
      <c r="O462" s="159"/>
      <c r="P462" s="159"/>
      <c r="Q462" s="159"/>
    </row>
    <row r="463" spans="4:17" ht="14.5" x14ac:dyDescent="0.35">
      <c r="D463" s="101"/>
      <c r="E463" s="155"/>
      <c r="F463" s="102"/>
      <c r="G463" s="156"/>
      <c r="H463" s="156"/>
      <c r="I463" s="156"/>
      <c r="J463" s="158"/>
      <c r="K463" s="157"/>
      <c r="L463" s="157"/>
      <c r="M463" s="157"/>
      <c r="N463" s="159"/>
      <c r="O463" s="159"/>
      <c r="P463" s="159"/>
      <c r="Q463" s="159"/>
    </row>
    <row r="464" spans="4:17" ht="14.5" x14ac:dyDescent="0.35">
      <c r="D464" s="101"/>
      <c r="E464" s="155"/>
      <c r="F464" s="102"/>
      <c r="G464" s="156"/>
      <c r="H464" s="156"/>
      <c r="I464" s="156"/>
      <c r="J464" s="158"/>
      <c r="K464" s="157"/>
      <c r="L464" s="157"/>
      <c r="M464" s="157"/>
      <c r="N464" s="159"/>
      <c r="O464" s="159"/>
      <c r="P464" s="159"/>
      <c r="Q464" s="159"/>
    </row>
    <row r="465" spans="4:17" ht="14.5" x14ac:dyDescent="0.35">
      <c r="D465" s="101"/>
      <c r="E465" s="155"/>
      <c r="F465" s="102"/>
      <c r="G465" s="156"/>
      <c r="H465" s="156"/>
      <c r="I465" s="156"/>
      <c r="J465" s="158"/>
      <c r="K465" s="157"/>
      <c r="L465" s="157"/>
      <c r="M465" s="157"/>
      <c r="N465" s="159"/>
      <c r="O465" s="159"/>
      <c r="P465" s="159"/>
      <c r="Q465" s="159"/>
    </row>
    <row r="466" spans="4:17" ht="14.5" x14ac:dyDescent="0.35">
      <c r="D466" s="101"/>
      <c r="E466" s="155"/>
      <c r="F466" s="102"/>
      <c r="G466" s="156"/>
      <c r="H466" s="156"/>
      <c r="I466" s="156"/>
      <c r="J466" s="158"/>
      <c r="K466" s="157"/>
      <c r="L466" s="157"/>
      <c r="M466" s="157"/>
      <c r="N466" s="159"/>
      <c r="O466" s="159"/>
      <c r="P466" s="159"/>
      <c r="Q466" s="159"/>
    </row>
    <row r="467" spans="4:17" ht="14.5" x14ac:dyDescent="0.35">
      <c r="D467" s="101"/>
      <c r="E467" s="167"/>
      <c r="F467" s="102"/>
      <c r="G467" s="168"/>
      <c r="H467" s="168"/>
      <c r="I467" s="168"/>
      <c r="J467" s="169"/>
      <c r="K467" s="168"/>
      <c r="L467" s="168"/>
      <c r="M467" s="168"/>
      <c r="N467" s="168"/>
      <c r="O467" s="168"/>
      <c r="P467" s="168"/>
      <c r="Q467" s="168"/>
    </row>
    <row r="468" spans="4:17" ht="14.5" x14ac:dyDescent="0.35">
      <c r="D468" s="101"/>
      <c r="E468" s="167"/>
      <c r="F468" s="102"/>
      <c r="G468" s="168"/>
      <c r="H468" s="168"/>
      <c r="I468" s="168"/>
      <c r="J468" s="169"/>
      <c r="K468" s="168"/>
      <c r="L468" s="168"/>
      <c r="M468" s="168"/>
      <c r="N468" s="168"/>
      <c r="O468" s="168"/>
      <c r="P468" s="168"/>
      <c r="Q468" s="168"/>
    </row>
    <row r="469" spans="4:17" ht="14.5" x14ac:dyDescent="0.35">
      <c r="D469" s="101"/>
      <c r="E469" s="167"/>
      <c r="F469" s="102"/>
      <c r="G469" s="168"/>
      <c r="H469" s="168"/>
      <c r="I469" s="168"/>
      <c r="J469" s="169"/>
      <c r="K469" s="168"/>
      <c r="L469" s="168"/>
      <c r="M469" s="168"/>
      <c r="N469" s="168"/>
      <c r="O469" s="168"/>
      <c r="P469" s="168"/>
      <c r="Q469" s="168"/>
    </row>
    <row r="470" spans="4:17" ht="14.5" x14ac:dyDescent="0.35">
      <c r="D470" s="101"/>
      <c r="E470" s="167"/>
      <c r="F470" s="102"/>
      <c r="G470" s="168"/>
      <c r="H470" s="168"/>
      <c r="I470" s="168"/>
      <c r="J470" s="169"/>
      <c r="K470" s="168"/>
      <c r="L470" s="168"/>
      <c r="M470" s="168"/>
      <c r="N470" s="168"/>
      <c r="O470" s="168"/>
      <c r="P470" s="168"/>
      <c r="Q470" s="168"/>
    </row>
    <row r="471" spans="4:17" ht="14.5" x14ac:dyDescent="0.35">
      <c r="D471" s="101"/>
      <c r="E471" s="167"/>
      <c r="F471" s="102"/>
      <c r="G471" s="168"/>
      <c r="H471" s="168"/>
      <c r="I471" s="168"/>
      <c r="J471" s="169"/>
      <c r="K471" s="168"/>
      <c r="L471" s="168"/>
      <c r="M471" s="168"/>
      <c r="N471" s="168"/>
      <c r="O471" s="168"/>
      <c r="P471" s="168"/>
      <c r="Q471" s="168"/>
    </row>
    <row r="472" spans="4:17" ht="14.5" x14ac:dyDescent="0.35">
      <c r="D472" s="101"/>
      <c r="E472" s="167"/>
      <c r="F472" s="102"/>
      <c r="G472" s="168"/>
      <c r="H472" s="168"/>
      <c r="I472" s="168"/>
      <c r="J472" s="169"/>
      <c r="K472" s="168"/>
      <c r="L472" s="168"/>
      <c r="M472" s="168"/>
      <c r="N472" s="168"/>
      <c r="O472" s="168"/>
      <c r="P472" s="168"/>
      <c r="Q472" s="168"/>
    </row>
    <row r="473" spans="4:17" ht="14.5" x14ac:dyDescent="0.35">
      <c r="D473" s="101"/>
      <c r="E473" s="155"/>
      <c r="F473" s="102"/>
      <c r="G473" s="156"/>
      <c r="H473" s="156"/>
      <c r="I473" s="156"/>
      <c r="J473" s="158"/>
      <c r="K473" s="157"/>
      <c r="L473" s="157"/>
      <c r="M473" s="157"/>
      <c r="N473" s="159"/>
      <c r="O473" s="159"/>
      <c r="P473" s="159"/>
      <c r="Q473" s="159"/>
    </row>
    <row r="474" spans="4:17" ht="14.5" x14ac:dyDescent="0.35">
      <c r="D474" s="101"/>
      <c r="E474" s="155"/>
      <c r="F474" s="102"/>
      <c r="G474" s="156"/>
      <c r="H474" s="156"/>
      <c r="I474" s="156"/>
      <c r="J474" s="158"/>
      <c r="K474" s="157"/>
      <c r="L474" s="157"/>
      <c r="M474" s="157"/>
      <c r="N474" s="159"/>
      <c r="O474" s="159"/>
      <c r="P474" s="159"/>
      <c r="Q474" s="159"/>
    </row>
    <row r="475" spans="4:17" ht="14.5" x14ac:dyDescent="0.35">
      <c r="D475" s="101"/>
      <c r="E475" s="155"/>
      <c r="F475" s="102"/>
      <c r="G475" s="156"/>
      <c r="H475" s="156"/>
      <c r="I475" s="156"/>
      <c r="J475" s="158"/>
      <c r="K475" s="157"/>
      <c r="L475" s="157"/>
      <c r="M475" s="157"/>
      <c r="N475" s="159"/>
      <c r="O475" s="159"/>
      <c r="P475" s="159"/>
      <c r="Q475" s="159"/>
    </row>
    <row r="476" spans="4:17" ht="14.5" x14ac:dyDescent="0.35">
      <c r="D476" s="101"/>
      <c r="E476" s="155"/>
      <c r="F476" s="102"/>
      <c r="G476" s="156"/>
      <c r="H476" s="156"/>
      <c r="I476" s="156"/>
      <c r="J476" s="158"/>
      <c r="K476" s="157"/>
      <c r="L476" s="157"/>
      <c r="M476" s="157"/>
      <c r="N476" s="159"/>
      <c r="O476" s="159"/>
      <c r="P476" s="159"/>
      <c r="Q476" s="159"/>
    </row>
    <row r="477" spans="4:17" ht="14.5" x14ac:dyDescent="0.35">
      <c r="D477" s="101"/>
      <c r="E477" s="155"/>
      <c r="F477" s="102"/>
      <c r="G477" s="156"/>
      <c r="H477" s="156"/>
      <c r="I477" s="156"/>
      <c r="J477" s="164"/>
      <c r="K477" s="163"/>
      <c r="L477" s="163"/>
      <c r="M477" s="163"/>
      <c r="N477" s="159"/>
      <c r="O477" s="159"/>
      <c r="P477" s="159"/>
      <c r="Q477" s="159"/>
    </row>
    <row r="478" spans="4:17" ht="14.5" x14ac:dyDescent="0.35">
      <c r="D478" s="101"/>
      <c r="E478" s="160"/>
      <c r="F478" s="102"/>
      <c r="G478" s="161"/>
      <c r="H478" s="161"/>
      <c r="I478" s="161"/>
      <c r="J478" s="158"/>
      <c r="K478" s="157"/>
      <c r="L478" s="157"/>
      <c r="M478" s="157"/>
      <c r="N478" s="159"/>
      <c r="O478" s="159"/>
      <c r="P478" s="159"/>
      <c r="Q478" s="159"/>
    </row>
    <row r="479" spans="4:17" ht="14.5" x14ac:dyDescent="0.35">
      <c r="D479" s="101"/>
      <c r="E479" s="160"/>
      <c r="F479" s="102"/>
      <c r="G479" s="161"/>
      <c r="H479" s="161"/>
      <c r="I479" s="161"/>
      <c r="J479" s="158"/>
      <c r="K479" s="157"/>
      <c r="L479" s="157"/>
      <c r="M479" s="157"/>
      <c r="N479" s="159"/>
      <c r="O479" s="159"/>
      <c r="P479" s="159"/>
      <c r="Q479" s="159"/>
    </row>
    <row r="480" spans="4:17" ht="14.5" x14ac:dyDescent="0.35">
      <c r="D480" s="101"/>
      <c r="E480" s="160"/>
      <c r="F480" s="102"/>
      <c r="G480" s="156"/>
      <c r="H480" s="156"/>
      <c r="I480" s="156"/>
      <c r="J480" s="158"/>
      <c r="K480" s="157"/>
      <c r="L480" s="157"/>
      <c r="M480" s="157"/>
      <c r="N480" s="159"/>
      <c r="O480" s="159"/>
      <c r="P480" s="159"/>
      <c r="Q480" s="159"/>
    </row>
    <row r="481" spans="4:17" ht="14.5" x14ac:dyDescent="0.35">
      <c r="D481" s="101"/>
      <c r="E481" s="160"/>
      <c r="F481" s="102"/>
      <c r="G481" s="156"/>
      <c r="H481" s="156"/>
      <c r="I481" s="156"/>
      <c r="J481" s="166"/>
      <c r="K481" s="159"/>
      <c r="L481" s="159"/>
      <c r="M481" s="159"/>
      <c r="N481" s="159"/>
      <c r="O481" s="159"/>
      <c r="P481" s="159"/>
      <c r="Q481" s="159"/>
    </row>
    <row r="482" spans="4:17" ht="14.5" x14ac:dyDescent="0.35">
      <c r="D482" s="101"/>
      <c r="E482" s="160"/>
      <c r="F482" s="102"/>
      <c r="G482" s="156"/>
      <c r="H482" s="156"/>
      <c r="I482" s="156"/>
      <c r="J482" s="166"/>
      <c r="K482" s="159"/>
      <c r="L482" s="159"/>
      <c r="M482" s="159"/>
      <c r="N482" s="159"/>
      <c r="O482" s="159"/>
      <c r="P482" s="159"/>
      <c r="Q482" s="159"/>
    </row>
    <row r="483" spans="4:17" ht="14.5" x14ac:dyDescent="0.35">
      <c r="D483" s="101"/>
      <c r="E483" s="167"/>
      <c r="F483" s="102"/>
      <c r="G483" s="168"/>
      <c r="H483" s="168"/>
      <c r="I483" s="168"/>
      <c r="J483" s="169"/>
      <c r="K483" s="168"/>
      <c r="L483" s="168"/>
      <c r="M483" s="168"/>
      <c r="N483" s="168"/>
      <c r="O483" s="168"/>
      <c r="P483" s="168"/>
      <c r="Q483" s="168"/>
    </row>
    <row r="484" spans="4:17" ht="14.5" x14ac:dyDescent="0.35">
      <c r="D484" s="101"/>
      <c r="E484" s="167"/>
      <c r="F484" s="102"/>
      <c r="G484" s="168"/>
      <c r="H484" s="168"/>
      <c r="I484" s="168"/>
      <c r="J484" s="169"/>
      <c r="K484" s="168"/>
      <c r="L484" s="168"/>
      <c r="M484" s="168"/>
      <c r="N484" s="168"/>
      <c r="O484" s="168"/>
      <c r="P484" s="168"/>
      <c r="Q484" s="168"/>
    </row>
    <row r="485" spans="4:17" ht="14.5" x14ac:dyDescent="0.35">
      <c r="D485" s="101"/>
      <c r="E485" s="167"/>
      <c r="F485" s="102"/>
      <c r="G485" s="168"/>
      <c r="H485" s="168"/>
      <c r="I485" s="168"/>
      <c r="J485" s="169"/>
      <c r="K485" s="168"/>
      <c r="L485" s="168"/>
      <c r="M485" s="168"/>
      <c r="N485" s="168"/>
      <c r="O485" s="168"/>
      <c r="P485" s="168"/>
      <c r="Q485" s="168"/>
    </row>
    <row r="486" spans="4:17" ht="14.5" x14ac:dyDescent="0.35">
      <c r="D486" s="101"/>
      <c r="E486" s="167"/>
      <c r="F486" s="102"/>
      <c r="G486" s="168"/>
      <c r="H486" s="168"/>
      <c r="I486" s="168"/>
      <c r="J486" s="169"/>
      <c r="K486" s="168"/>
      <c r="L486" s="168"/>
      <c r="M486" s="168"/>
      <c r="N486" s="168"/>
      <c r="O486" s="168"/>
      <c r="P486" s="168"/>
      <c r="Q486" s="168"/>
    </row>
    <row r="487" spans="4:17" ht="14.5" x14ac:dyDescent="0.35">
      <c r="D487" s="101"/>
      <c r="E487" s="167"/>
      <c r="F487" s="102"/>
      <c r="G487" s="168"/>
      <c r="H487" s="168"/>
      <c r="I487" s="168"/>
      <c r="J487" s="169"/>
      <c r="K487" s="168"/>
      <c r="L487" s="168"/>
      <c r="M487" s="168"/>
      <c r="N487" s="168"/>
      <c r="O487" s="168"/>
      <c r="P487" s="168"/>
      <c r="Q487" s="168"/>
    </row>
    <row r="488" spans="4:17" ht="14.5" x14ac:dyDescent="0.35">
      <c r="D488" s="101"/>
      <c r="E488" s="167"/>
      <c r="F488" s="102"/>
      <c r="G488" s="168"/>
      <c r="H488" s="168"/>
      <c r="I488" s="168"/>
      <c r="J488" s="169"/>
      <c r="K488" s="168"/>
      <c r="L488" s="168"/>
      <c r="M488" s="168"/>
      <c r="N488" s="168"/>
      <c r="O488" s="168"/>
      <c r="P488" s="168"/>
      <c r="Q488" s="168"/>
    </row>
    <row r="489" spans="4:17" ht="14.5" x14ac:dyDescent="0.35">
      <c r="D489" s="101"/>
      <c r="E489" s="167"/>
      <c r="F489" s="102"/>
      <c r="G489" s="168"/>
      <c r="H489" s="168"/>
      <c r="I489" s="168"/>
      <c r="J489" s="169"/>
      <c r="K489" s="168"/>
      <c r="L489" s="168"/>
      <c r="M489" s="168"/>
      <c r="N489" s="168"/>
      <c r="O489" s="168"/>
      <c r="P489" s="168"/>
      <c r="Q489" s="168"/>
    </row>
    <row r="490" spans="4:17" ht="14.5" x14ac:dyDescent="0.35">
      <c r="D490" s="101"/>
      <c r="E490" s="167"/>
      <c r="F490" s="102"/>
      <c r="G490" s="168"/>
      <c r="H490" s="168"/>
      <c r="I490" s="168"/>
      <c r="J490" s="169"/>
      <c r="K490" s="168"/>
      <c r="L490" s="168"/>
      <c r="M490" s="168"/>
      <c r="N490" s="168"/>
      <c r="O490" s="168"/>
      <c r="P490" s="168"/>
      <c r="Q490" s="168"/>
    </row>
    <row r="491" spans="4:17" ht="14.5" x14ac:dyDescent="0.35">
      <c r="D491" s="101"/>
      <c r="E491" s="160"/>
      <c r="F491" s="102"/>
      <c r="G491" s="161"/>
      <c r="H491" s="161"/>
      <c r="I491" s="161"/>
      <c r="J491" s="166"/>
      <c r="K491" s="159"/>
      <c r="L491" s="159"/>
      <c r="M491" s="159"/>
      <c r="N491" s="159"/>
      <c r="O491" s="159"/>
      <c r="P491" s="159"/>
      <c r="Q491" s="159"/>
    </row>
    <row r="492" spans="4:17" ht="14.5" x14ac:dyDescent="0.35">
      <c r="D492" s="101"/>
      <c r="E492" s="162"/>
      <c r="F492" s="102"/>
      <c r="G492" s="156"/>
      <c r="H492" s="156"/>
      <c r="I492" s="156"/>
      <c r="J492" s="164"/>
      <c r="K492" s="165"/>
      <c r="L492" s="165"/>
      <c r="M492" s="165"/>
      <c r="N492" s="159"/>
      <c r="O492" s="159"/>
      <c r="P492" s="159"/>
      <c r="Q492" s="159"/>
    </row>
    <row r="493" spans="4:17" ht="14.5" x14ac:dyDescent="0.35">
      <c r="D493" s="101"/>
      <c r="E493" s="162"/>
      <c r="F493" s="102"/>
      <c r="G493" s="156"/>
      <c r="H493" s="156"/>
      <c r="I493" s="156"/>
      <c r="J493" s="164"/>
      <c r="K493" s="165"/>
      <c r="L493" s="163"/>
      <c r="M493" s="163"/>
      <c r="N493" s="159"/>
      <c r="O493" s="159"/>
      <c r="P493" s="159"/>
      <c r="Q493" s="159"/>
    </row>
    <row r="494" spans="4:17" ht="14.5" x14ac:dyDescent="0.35">
      <c r="D494" s="101"/>
      <c r="E494" s="162"/>
      <c r="F494" s="102"/>
      <c r="G494" s="156"/>
      <c r="H494" s="156"/>
      <c r="I494" s="156"/>
      <c r="J494" s="164"/>
      <c r="K494" s="165"/>
      <c r="L494" s="163"/>
      <c r="M494" s="163"/>
      <c r="N494" s="159"/>
      <c r="O494" s="159"/>
      <c r="P494" s="159"/>
      <c r="Q494" s="159"/>
    </row>
    <row r="495" spans="4:17" ht="14.5" x14ac:dyDescent="0.35">
      <c r="D495" s="101"/>
      <c r="E495" s="162"/>
      <c r="F495" s="102"/>
      <c r="G495" s="156"/>
      <c r="H495" s="156"/>
      <c r="I495" s="156"/>
      <c r="J495" s="164"/>
      <c r="K495" s="165"/>
      <c r="L495" s="163"/>
      <c r="M495" s="163"/>
      <c r="N495" s="159"/>
      <c r="O495" s="159"/>
      <c r="P495" s="159"/>
      <c r="Q495" s="159"/>
    </row>
    <row r="496" spans="4:17" ht="14.5" x14ac:dyDescent="0.35">
      <c r="D496" s="101"/>
      <c r="E496" s="162"/>
      <c r="F496" s="102"/>
      <c r="G496" s="156"/>
      <c r="H496" s="156"/>
      <c r="I496" s="156"/>
      <c r="J496" s="164"/>
      <c r="K496" s="165"/>
      <c r="L496" s="163"/>
      <c r="M496" s="165"/>
      <c r="N496" s="159"/>
      <c r="O496" s="159"/>
      <c r="P496" s="159"/>
      <c r="Q496" s="159"/>
    </row>
    <row r="497" spans="4:17" ht="14.5" x14ac:dyDescent="0.35">
      <c r="D497" s="101"/>
      <c r="E497" s="162"/>
      <c r="F497" s="102"/>
      <c r="G497" s="156"/>
      <c r="H497" s="156"/>
      <c r="I497" s="156"/>
      <c r="J497" s="164"/>
      <c r="K497" s="165"/>
      <c r="L497" s="163"/>
      <c r="M497" s="165"/>
      <c r="N497" s="159"/>
      <c r="O497" s="159"/>
      <c r="P497" s="159"/>
      <c r="Q497" s="159"/>
    </row>
    <row r="498" spans="4:17" ht="14.5" x14ac:dyDescent="0.35">
      <c r="D498" s="101"/>
      <c r="E498" s="162"/>
      <c r="F498" s="102"/>
      <c r="G498" s="156"/>
      <c r="H498" s="156"/>
      <c r="I498" s="156"/>
      <c r="J498" s="164"/>
      <c r="K498" s="165"/>
      <c r="L498" s="165"/>
      <c r="M498" s="165"/>
      <c r="N498" s="159"/>
      <c r="O498" s="159"/>
      <c r="P498" s="159"/>
      <c r="Q498" s="159"/>
    </row>
    <row r="499" spans="4:17" ht="14.5" x14ac:dyDescent="0.35">
      <c r="D499" s="101"/>
      <c r="E499" s="167"/>
      <c r="F499" s="102"/>
      <c r="G499" s="168"/>
      <c r="H499" s="168"/>
      <c r="I499" s="168"/>
      <c r="J499" s="169"/>
      <c r="K499" s="168"/>
      <c r="L499" s="168"/>
      <c r="M499" s="168"/>
      <c r="N499" s="168"/>
      <c r="O499" s="168"/>
      <c r="P499" s="168"/>
      <c r="Q499" s="168"/>
    </row>
    <row r="500" spans="4:17" ht="14.5" x14ac:dyDescent="0.35">
      <c r="D500" s="101"/>
      <c r="E500" s="167"/>
      <c r="F500" s="102"/>
      <c r="G500" s="168"/>
      <c r="H500" s="168"/>
      <c r="I500" s="168"/>
      <c r="J500" s="169"/>
      <c r="K500" s="168"/>
      <c r="L500" s="168"/>
      <c r="M500" s="168"/>
      <c r="N500" s="168"/>
      <c r="O500" s="168"/>
      <c r="P500" s="168"/>
      <c r="Q500" s="168"/>
    </row>
    <row r="501" spans="4:17" ht="14.5" x14ac:dyDescent="0.35">
      <c r="D501" s="101"/>
      <c r="E501" s="170"/>
      <c r="F501" s="102"/>
      <c r="G501" s="171"/>
      <c r="H501" s="171"/>
      <c r="I501" s="171"/>
      <c r="J501" s="173"/>
      <c r="K501" s="172"/>
      <c r="L501" s="172"/>
      <c r="M501" s="172"/>
      <c r="N501" s="174"/>
      <c r="O501" s="174"/>
      <c r="P501" s="174"/>
      <c r="Q501" s="174"/>
    </row>
    <row r="502" spans="4:17" ht="14.5" x14ac:dyDescent="0.35">
      <c r="D502" s="101"/>
      <c r="E502" s="170"/>
      <c r="F502" s="102"/>
      <c r="G502" s="171"/>
      <c r="H502" s="171"/>
      <c r="I502" s="171"/>
      <c r="J502" s="173"/>
      <c r="K502" s="172"/>
      <c r="L502" s="172"/>
      <c r="M502" s="172"/>
      <c r="N502" s="174"/>
      <c r="O502" s="174"/>
      <c r="P502" s="174"/>
      <c r="Q502" s="174"/>
    </row>
    <row r="503" spans="4:17" ht="14.5" x14ac:dyDescent="0.35">
      <c r="D503" s="101"/>
      <c r="E503" s="170"/>
      <c r="F503" s="102"/>
      <c r="G503" s="171"/>
      <c r="H503" s="171"/>
      <c r="I503" s="171"/>
      <c r="J503" s="173"/>
      <c r="K503" s="172"/>
      <c r="L503" s="172"/>
      <c r="M503" s="172"/>
      <c r="N503" s="174"/>
      <c r="O503" s="174"/>
      <c r="P503" s="174"/>
      <c r="Q503" s="174"/>
    </row>
    <row r="504" spans="4:17" ht="14.5" x14ac:dyDescent="0.35">
      <c r="D504" s="101"/>
      <c r="E504" s="170"/>
      <c r="F504" s="102"/>
      <c r="G504" s="171"/>
      <c r="H504" s="171"/>
      <c r="I504" s="171"/>
      <c r="J504" s="173"/>
      <c r="K504" s="172"/>
      <c r="L504" s="172"/>
      <c r="M504" s="172"/>
      <c r="N504" s="174"/>
      <c r="O504" s="174"/>
      <c r="P504" s="174"/>
      <c r="Q504" s="174"/>
    </row>
    <row r="505" spans="4:17" ht="14.5" x14ac:dyDescent="0.35">
      <c r="D505" s="101"/>
      <c r="E505" s="170"/>
      <c r="F505" s="102"/>
      <c r="G505" s="171"/>
      <c r="H505" s="171"/>
      <c r="I505" s="171"/>
      <c r="J505" s="173"/>
      <c r="K505" s="172"/>
      <c r="L505" s="172"/>
      <c r="M505" s="172"/>
      <c r="N505" s="174"/>
      <c r="O505" s="174"/>
      <c r="P505" s="174"/>
      <c r="Q505" s="174"/>
    </row>
    <row r="506" spans="4:17" ht="14.5" x14ac:dyDescent="0.35">
      <c r="D506" s="101"/>
      <c r="E506" s="175"/>
      <c r="F506" s="102"/>
      <c r="G506" s="176"/>
      <c r="H506" s="176"/>
      <c r="I506" s="176"/>
      <c r="J506" s="173"/>
      <c r="K506" s="172"/>
      <c r="L506" s="172"/>
      <c r="M506" s="172"/>
      <c r="N506" s="174"/>
      <c r="O506" s="174"/>
      <c r="P506" s="174"/>
      <c r="Q506" s="174"/>
    </row>
    <row r="507" spans="4:17" ht="14.5" x14ac:dyDescent="0.35">
      <c r="D507" s="101"/>
      <c r="E507" s="175"/>
      <c r="F507" s="102"/>
      <c r="G507" s="176"/>
      <c r="H507" s="176"/>
      <c r="I507" s="176"/>
      <c r="J507" s="173"/>
      <c r="K507" s="172"/>
      <c r="L507" s="172"/>
      <c r="M507" s="172"/>
      <c r="N507" s="174"/>
      <c r="O507" s="174"/>
      <c r="P507" s="174"/>
      <c r="Q507" s="174"/>
    </row>
    <row r="508" spans="4:17" ht="14.5" x14ac:dyDescent="0.35">
      <c r="D508" s="101"/>
      <c r="E508" s="175"/>
      <c r="F508" s="102"/>
      <c r="G508" s="171"/>
      <c r="H508" s="171"/>
      <c r="I508" s="171"/>
      <c r="J508" s="173"/>
      <c r="K508" s="172"/>
      <c r="L508" s="172"/>
      <c r="M508" s="172"/>
      <c r="N508" s="174"/>
      <c r="O508" s="174"/>
      <c r="P508" s="174"/>
      <c r="Q508" s="174"/>
    </row>
    <row r="509" spans="4:17" ht="14.5" x14ac:dyDescent="0.35">
      <c r="D509" s="101"/>
      <c r="E509" s="175"/>
      <c r="F509" s="102"/>
      <c r="G509" s="171"/>
      <c r="H509" s="171"/>
      <c r="I509" s="171"/>
      <c r="J509" s="173"/>
      <c r="K509" s="172"/>
      <c r="L509" s="172"/>
      <c r="M509" s="172"/>
      <c r="N509" s="174"/>
      <c r="O509" s="174"/>
      <c r="P509" s="174"/>
      <c r="Q509" s="174"/>
    </row>
    <row r="510" spans="4:17" ht="14.5" x14ac:dyDescent="0.35">
      <c r="D510" s="101"/>
      <c r="E510" s="177"/>
      <c r="F510" s="102"/>
      <c r="G510" s="178"/>
      <c r="H510" s="178"/>
      <c r="I510" s="178"/>
      <c r="J510" s="180"/>
      <c r="K510" s="179"/>
      <c r="L510" s="179"/>
      <c r="M510" s="179"/>
      <c r="N510" s="179"/>
      <c r="O510" s="179"/>
      <c r="P510" s="179"/>
      <c r="Q510" s="179"/>
    </row>
    <row r="511" spans="4:17" ht="14.5" x14ac:dyDescent="0.35">
      <c r="D511" s="101"/>
      <c r="E511" s="181"/>
      <c r="F511" s="102"/>
      <c r="G511" s="178"/>
      <c r="H511" s="178"/>
      <c r="I511" s="178"/>
      <c r="J511" s="183"/>
      <c r="K511" s="182"/>
      <c r="L511" s="182"/>
      <c r="M511" s="182"/>
      <c r="N511" s="179"/>
      <c r="O511" s="179"/>
      <c r="P511" s="179"/>
      <c r="Q511" s="179"/>
    </row>
    <row r="512" spans="4:17" ht="14.5" x14ac:dyDescent="0.35">
      <c r="D512" s="101"/>
      <c r="E512" s="181"/>
      <c r="F512" s="102"/>
      <c r="G512" s="178"/>
      <c r="H512" s="178"/>
      <c r="I512" s="178"/>
      <c r="J512" s="183"/>
      <c r="K512" s="182"/>
      <c r="L512" s="182"/>
      <c r="M512" s="182"/>
      <c r="N512" s="179"/>
      <c r="O512" s="179"/>
      <c r="P512" s="179"/>
      <c r="Q512" s="179"/>
    </row>
    <row r="513" spans="4:17" ht="14.5" x14ac:dyDescent="0.35">
      <c r="D513" s="101"/>
      <c r="E513" s="170"/>
      <c r="F513" s="102"/>
      <c r="G513" s="171"/>
      <c r="H513" s="171"/>
      <c r="I513" s="171"/>
      <c r="J513" s="173"/>
      <c r="K513" s="172"/>
      <c r="L513" s="172"/>
      <c r="M513" s="172"/>
      <c r="N513" s="174"/>
      <c r="O513" s="174"/>
      <c r="P513" s="174"/>
      <c r="Q513" s="174"/>
    </row>
    <row r="514" spans="4:17" ht="14.5" x14ac:dyDescent="0.35">
      <c r="D514" s="101"/>
      <c r="E514" s="170"/>
      <c r="F514" s="102"/>
      <c r="G514" s="171"/>
      <c r="H514" s="171"/>
      <c r="I514" s="171"/>
      <c r="J514" s="173"/>
      <c r="K514" s="172"/>
      <c r="L514" s="172"/>
      <c r="M514" s="172"/>
      <c r="N514" s="174"/>
      <c r="O514" s="174"/>
      <c r="P514" s="174"/>
      <c r="Q514" s="174"/>
    </row>
    <row r="515" spans="4:17" ht="14.5" x14ac:dyDescent="0.35">
      <c r="D515" s="101"/>
      <c r="E515" s="170"/>
      <c r="F515" s="102"/>
      <c r="G515" s="171"/>
      <c r="H515" s="171"/>
      <c r="I515" s="171"/>
      <c r="J515" s="173"/>
      <c r="K515" s="172"/>
      <c r="L515" s="172"/>
      <c r="M515" s="172"/>
      <c r="N515" s="174"/>
      <c r="O515" s="174"/>
      <c r="P515" s="174"/>
      <c r="Q515" s="174"/>
    </row>
    <row r="516" spans="4:17" ht="14.5" x14ac:dyDescent="0.35">
      <c r="D516" s="101"/>
      <c r="E516" s="181"/>
      <c r="F516" s="102"/>
      <c r="G516" s="178"/>
      <c r="H516" s="178"/>
      <c r="I516" s="178"/>
      <c r="J516" s="180"/>
      <c r="K516" s="179"/>
      <c r="L516" s="179"/>
      <c r="M516" s="179"/>
      <c r="N516" s="179"/>
      <c r="O516" s="179"/>
      <c r="P516" s="179"/>
      <c r="Q516" s="179"/>
    </row>
    <row r="517" spans="4:17" ht="14.5" x14ac:dyDescent="0.35">
      <c r="D517" s="101"/>
      <c r="E517" s="170"/>
      <c r="F517" s="102"/>
      <c r="G517" s="171"/>
      <c r="H517" s="171"/>
      <c r="I517" s="171"/>
      <c r="J517" s="173"/>
      <c r="K517" s="172"/>
      <c r="L517" s="172"/>
      <c r="M517" s="172"/>
      <c r="N517" s="174"/>
      <c r="O517" s="174"/>
      <c r="P517" s="174"/>
      <c r="Q517" s="174"/>
    </row>
    <row r="518" spans="4:17" ht="14.5" x14ac:dyDescent="0.35">
      <c r="D518" s="101"/>
      <c r="E518" s="170"/>
      <c r="F518" s="102"/>
      <c r="G518" s="171"/>
      <c r="H518" s="171"/>
      <c r="I518" s="171"/>
      <c r="J518" s="173"/>
      <c r="K518" s="172"/>
      <c r="L518" s="172"/>
      <c r="M518" s="172"/>
      <c r="N518" s="174"/>
      <c r="O518" s="174"/>
      <c r="P518" s="174"/>
      <c r="Q518" s="174"/>
    </row>
    <row r="519" spans="4:17" ht="14.5" x14ac:dyDescent="0.35">
      <c r="D519" s="101"/>
      <c r="E519" s="170"/>
      <c r="F519" s="102"/>
      <c r="G519" s="171"/>
      <c r="H519" s="171"/>
      <c r="I519" s="171"/>
      <c r="J519" s="173"/>
      <c r="K519" s="172"/>
      <c r="L519" s="172"/>
      <c r="M519" s="172"/>
      <c r="N519" s="174"/>
      <c r="O519" s="174"/>
      <c r="P519" s="174"/>
      <c r="Q519" s="174"/>
    </row>
    <row r="520" spans="4:17" ht="14.5" x14ac:dyDescent="0.35">
      <c r="D520" s="101"/>
      <c r="E520" s="170"/>
      <c r="F520" s="102"/>
      <c r="G520" s="171"/>
      <c r="H520" s="171"/>
      <c r="I520" s="171"/>
      <c r="J520" s="173"/>
      <c r="K520" s="172"/>
      <c r="L520" s="172"/>
      <c r="M520" s="172"/>
      <c r="N520" s="174"/>
      <c r="O520" s="174"/>
      <c r="P520" s="174"/>
      <c r="Q520" s="174"/>
    </row>
    <row r="521" spans="4:17" ht="14.5" x14ac:dyDescent="0.35">
      <c r="D521" s="101"/>
      <c r="E521" s="170"/>
      <c r="F521" s="102"/>
      <c r="G521" s="171"/>
      <c r="H521" s="171"/>
      <c r="I521" s="171"/>
      <c r="J521" s="173"/>
      <c r="K521" s="172"/>
      <c r="L521" s="172"/>
      <c r="M521" s="172"/>
      <c r="N521" s="174"/>
      <c r="O521" s="174"/>
      <c r="P521" s="174"/>
      <c r="Q521" s="174"/>
    </row>
    <row r="522" spans="4:17" ht="14.5" x14ac:dyDescent="0.35">
      <c r="D522" s="101"/>
      <c r="E522" s="170"/>
      <c r="F522" s="102"/>
      <c r="G522" s="171"/>
      <c r="H522" s="171"/>
      <c r="I522" s="171"/>
      <c r="J522" s="173"/>
      <c r="K522" s="172"/>
      <c r="L522" s="172"/>
      <c r="M522" s="172"/>
      <c r="N522" s="174"/>
      <c r="O522" s="174"/>
      <c r="P522" s="174"/>
      <c r="Q522" s="174"/>
    </row>
    <row r="523" spans="4:17" ht="14.5" x14ac:dyDescent="0.35">
      <c r="D523" s="101"/>
      <c r="E523" s="170"/>
      <c r="F523" s="102"/>
      <c r="G523" s="171"/>
      <c r="H523" s="171"/>
      <c r="I523" s="171"/>
      <c r="J523" s="173"/>
      <c r="K523" s="172"/>
      <c r="L523" s="172"/>
      <c r="M523" s="172"/>
      <c r="N523" s="174"/>
      <c r="O523" s="174"/>
      <c r="P523" s="174"/>
      <c r="Q523" s="174"/>
    </row>
    <row r="524" spans="4:17" ht="14.5" x14ac:dyDescent="0.35">
      <c r="D524" s="101"/>
      <c r="E524" s="170"/>
      <c r="F524" s="102"/>
      <c r="G524" s="171"/>
      <c r="H524" s="171"/>
      <c r="I524" s="171"/>
      <c r="J524" s="173"/>
      <c r="K524" s="172"/>
      <c r="L524" s="172"/>
      <c r="M524" s="172"/>
      <c r="N524" s="174"/>
      <c r="O524" s="174"/>
      <c r="P524" s="174"/>
      <c r="Q524" s="174"/>
    </row>
    <row r="525" spans="4:17" ht="14.5" x14ac:dyDescent="0.35">
      <c r="D525" s="101"/>
      <c r="E525" s="170"/>
      <c r="F525" s="102"/>
      <c r="G525" s="171"/>
      <c r="H525" s="171"/>
      <c r="I525" s="171"/>
      <c r="J525" s="173"/>
      <c r="K525" s="172"/>
      <c r="L525" s="172"/>
      <c r="M525" s="172"/>
      <c r="N525" s="174"/>
      <c r="O525" s="174"/>
      <c r="P525" s="174"/>
      <c r="Q525" s="174"/>
    </row>
    <row r="526" spans="4:17" ht="14.5" x14ac:dyDescent="0.35">
      <c r="D526" s="101"/>
      <c r="E526" s="170"/>
      <c r="F526" s="102"/>
      <c r="G526" s="171"/>
      <c r="H526" s="171"/>
      <c r="I526" s="171"/>
      <c r="J526" s="173"/>
      <c r="K526" s="172"/>
      <c r="L526" s="172"/>
      <c r="M526" s="172"/>
      <c r="N526" s="174"/>
      <c r="O526" s="174"/>
      <c r="P526" s="174"/>
      <c r="Q526" s="174"/>
    </row>
    <row r="527" spans="4:17" ht="14.5" x14ac:dyDescent="0.35">
      <c r="D527" s="101"/>
      <c r="E527" s="184"/>
      <c r="F527" s="102"/>
      <c r="G527" s="178"/>
      <c r="H527" s="185"/>
      <c r="I527" s="185"/>
      <c r="J527" s="183"/>
      <c r="K527" s="182"/>
      <c r="L527" s="182"/>
      <c r="M527" s="182"/>
      <c r="N527" s="179"/>
      <c r="O527" s="179"/>
      <c r="P527" s="179"/>
      <c r="Q527" s="179"/>
    </row>
    <row r="528" spans="4:17" ht="14.5" x14ac:dyDescent="0.35">
      <c r="D528" s="101"/>
      <c r="E528" s="170"/>
      <c r="F528" s="102"/>
      <c r="G528" s="171"/>
      <c r="H528" s="171"/>
      <c r="I528" s="171"/>
      <c r="J528" s="173"/>
      <c r="K528" s="172"/>
      <c r="L528" s="172"/>
      <c r="M528" s="172"/>
      <c r="N528" s="174"/>
      <c r="O528" s="174"/>
      <c r="P528" s="174"/>
      <c r="Q528" s="174"/>
    </row>
    <row r="529" spans="4:17" ht="14.5" x14ac:dyDescent="0.35">
      <c r="D529" s="101"/>
      <c r="E529" s="170"/>
      <c r="F529" s="102"/>
      <c r="G529" s="171"/>
      <c r="H529" s="171"/>
      <c r="I529" s="171"/>
      <c r="J529" s="173"/>
      <c r="K529" s="172"/>
      <c r="L529" s="172"/>
      <c r="M529" s="172"/>
      <c r="N529" s="174"/>
      <c r="O529" s="174"/>
      <c r="P529" s="174"/>
      <c r="Q529" s="174"/>
    </row>
    <row r="530" spans="4:17" ht="14.5" x14ac:dyDescent="0.35">
      <c r="D530" s="101"/>
      <c r="E530" s="170"/>
      <c r="F530" s="102"/>
      <c r="G530" s="171"/>
      <c r="H530" s="171"/>
      <c r="I530" s="171"/>
      <c r="J530" s="187"/>
      <c r="K530" s="186"/>
      <c r="L530" s="186"/>
      <c r="M530" s="186"/>
      <c r="N530" s="174"/>
      <c r="O530" s="174"/>
      <c r="P530" s="174"/>
      <c r="Q530" s="174"/>
    </row>
    <row r="531" spans="4:17" ht="14.5" x14ac:dyDescent="0.35">
      <c r="D531" s="101"/>
      <c r="E531" s="175"/>
      <c r="F531" s="102"/>
      <c r="G531" s="176"/>
      <c r="H531" s="176"/>
      <c r="I531" s="176"/>
      <c r="J531" s="173"/>
      <c r="K531" s="172"/>
      <c r="L531" s="172"/>
      <c r="M531" s="172"/>
      <c r="N531" s="174"/>
      <c r="O531" s="174"/>
      <c r="P531" s="174"/>
      <c r="Q531" s="174"/>
    </row>
    <row r="532" spans="4:17" ht="14.5" x14ac:dyDescent="0.35">
      <c r="D532" s="101"/>
      <c r="E532" s="181"/>
      <c r="F532" s="102"/>
      <c r="G532" s="178"/>
      <c r="H532" s="178"/>
      <c r="I532" s="178"/>
      <c r="J532" s="183"/>
      <c r="K532" s="182"/>
      <c r="L532" s="182"/>
      <c r="M532" s="182"/>
      <c r="N532" s="179"/>
      <c r="O532" s="179"/>
      <c r="P532" s="179"/>
      <c r="Q532" s="179"/>
    </row>
    <row r="533" spans="4:17" ht="14.5" x14ac:dyDescent="0.35">
      <c r="D533" s="101"/>
      <c r="E533" s="170"/>
      <c r="F533" s="102"/>
      <c r="G533" s="171"/>
      <c r="H533" s="171"/>
      <c r="I533" s="171"/>
      <c r="J533" s="173"/>
      <c r="K533" s="172"/>
      <c r="L533" s="172"/>
      <c r="M533" s="172"/>
      <c r="N533" s="174"/>
      <c r="O533" s="174"/>
      <c r="P533" s="174"/>
      <c r="Q533" s="174"/>
    </row>
    <row r="534" spans="4:17" ht="14.5" x14ac:dyDescent="0.35">
      <c r="D534" s="101"/>
      <c r="E534" s="170"/>
      <c r="F534" s="102"/>
      <c r="G534" s="171"/>
      <c r="H534" s="171"/>
      <c r="I534" s="171"/>
      <c r="J534" s="173"/>
      <c r="K534" s="172"/>
      <c r="L534" s="172"/>
      <c r="M534" s="172"/>
      <c r="N534" s="174"/>
      <c r="O534" s="174"/>
      <c r="P534" s="174"/>
      <c r="Q534" s="174"/>
    </row>
    <row r="535" spans="4:17" ht="14.5" x14ac:dyDescent="0.35">
      <c r="D535" s="101"/>
      <c r="E535" s="170"/>
      <c r="F535" s="102"/>
      <c r="G535" s="171"/>
      <c r="H535" s="171"/>
      <c r="I535" s="171"/>
      <c r="J535" s="173"/>
      <c r="K535" s="172"/>
      <c r="L535" s="172"/>
      <c r="M535" s="172"/>
      <c r="N535" s="174"/>
      <c r="O535" s="174"/>
      <c r="P535" s="174"/>
      <c r="Q535" s="174"/>
    </row>
    <row r="536" spans="4:17" ht="14.5" x14ac:dyDescent="0.35">
      <c r="D536" s="101"/>
      <c r="E536" s="188"/>
      <c r="F536" s="102"/>
      <c r="G536" s="189"/>
      <c r="H536" s="189"/>
      <c r="I536" s="189"/>
      <c r="J536" s="191"/>
      <c r="K536" s="190"/>
      <c r="L536" s="190"/>
      <c r="M536" s="190"/>
      <c r="N536" s="192"/>
      <c r="O536" s="192"/>
      <c r="P536" s="192"/>
      <c r="Q536" s="192"/>
    </row>
    <row r="537" spans="4:17" ht="14.5" x14ac:dyDescent="0.35">
      <c r="D537" s="101"/>
      <c r="E537" s="193"/>
      <c r="F537" s="102"/>
      <c r="G537" s="194"/>
      <c r="H537" s="194"/>
      <c r="I537" s="194"/>
      <c r="J537" s="191"/>
      <c r="K537" s="190"/>
      <c r="L537" s="190"/>
      <c r="M537" s="190"/>
      <c r="N537" s="192"/>
      <c r="O537" s="192"/>
      <c r="P537" s="192"/>
      <c r="Q537" s="192"/>
    </row>
    <row r="538" spans="4:17" ht="14.5" x14ac:dyDescent="0.35">
      <c r="D538" s="101"/>
      <c r="E538" s="193"/>
      <c r="F538" s="102"/>
      <c r="G538" s="189"/>
      <c r="H538" s="189"/>
      <c r="I538" s="189"/>
      <c r="J538" s="191"/>
      <c r="K538" s="190"/>
      <c r="L538" s="190"/>
      <c r="M538" s="190"/>
      <c r="N538" s="192"/>
      <c r="O538" s="192"/>
      <c r="P538" s="192"/>
      <c r="Q538" s="192"/>
    </row>
    <row r="539" spans="4:17" ht="14.5" x14ac:dyDescent="0.35">
      <c r="D539" s="101"/>
      <c r="E539" s="195"/>
      <c r="F539" s="102"/>
      <c r="G539" s="196"/>
      <c r="H539" s="196"/>
      <c r="I539" s="196"/>
      <c r="J539" s="198"/>
      <c r="K539" s="197"/>
      <c r="L539" s="197"/>
      <c r="M539" s="197"/>
      <c r="N539" s="199"/>
      <c r="O539" s="199"/>
      <c r="P539" s="199"/>
      <c r="Q539" s="199"/>
    </row>
    <row r="540" spans="4:17" ht="14.5" x14ac:dyDescent="0.35">
      <c r="D540" s="101"/>
      <c r="E540" s="200"/>
      <c r="F540" s="102"/>
      <c r="G540" s="196"/>
      <c r="H540" s="196"/>
      <c r="I540" s="196"/>
      <c r="J540" s="198"/>
      <c r="K540" s="197"/>
      <c r="L540" s="197"/>
      <c r="M540" s="197"/>
      <c r="N540" s="199"/>
      <c r="O540" s="199"/>
      <c r="P540" s="199"/>
      <c r="Q540" s="199"/>
    </row>
    <row r="541" spans="4:17" ht="14.5" x14ac:dyDescent="0.35">
      <c r="D541" s="101"/>
      <c r="E541" s="200"/>
      <c r="F541" s="102"/>
      <c r="G541" s="196"/>
      <c r="H541" s="196"/>
      <c r="I541" s="196"/>
      <c r="J541" s="201"/>
      <c r="K541" s="199"/>
      <c r="L541" s="199"/>
      <c r="M541" s="199"/>
      <c r="N541" s="199"/>
      <c r="O541" s="199"/>
      <c r="P541" s="199"/>
      <c r="Q541" s="199"/>
    </row>
    <row r="542" spans="4:17" ht="14.5" x14ac:dyDescent="0.35">
      <c r="D542" s="101"/>
      <c r="E542" s="195"/>
      <c r="F542" s="102"/>
      <c r="G542" s="196"/>
      <c r="H542" s="196"/>
      <c r="I542" s="196"/>
      <c r="J542" s="198"/>
      <c r="K542" s="197"/>
      <c r="L542" s="197"/>
      <c r="M542" s="197"/>
      <c r="N542" s="199"/>
      <c r="O542" s="199"/>
      <c r="P542" s="199"/>
      <c r="Q542" s="199"/>
    </row>
    <row r="543" spans="4:17" ht="14.5" x14ac:dyDescent="0.35">
      <c r="D543" s="101"/>
      <c r="E543" s="202"/>
      <c r="F543" s="102"/>
      <c r="G543" s="196"/>
      <c r="H543" s="203"/>
      <c r="I543" s="203"/>
      <c r="J543" s="198"/>
      <c r="K543" s="197"/>
      <c r="L543" s="197"/>
      <c r="M543" s="197"/>
      <c r="N543" s="199"/>
      <c r="O543" s="199"/>
      <c r="P543" s="199"/>
      <c r="Q543" s="199"/>
    </row>
    <row r="544" spans="4:17" ht="14.5" x14ac:dyDescent="0.35">
      <c r="D544" s="101"/>
      <c r="E544" s="200"/>
      <c r="F544" s="102"/>
      <c r="G544" s="196"/>
      <c r="H544" s="196"/>
      <c r="I544" s="196"/>
      <c r="J544" s="198"/>
      <c r="K544" s="197"/>
      <c r="L544" s="197"/>
      <c r="M544" s="197"/>
      <c r="N544" s="199"/>
      <c r="O544" s="199"/>
      <c r="P544" s="199"/>
      <c r="Q544" s="199"/>
    </row>
    <row r="545" spans="4:17" ht="14.5" x14ac:dyDescent="0.35">
      <c r="D545" s="101"/>
      <c r="E545" s="200"/>
      <c r="F545" s="102"/>
      <c r="G545" s="196"/>
      <c r="H545" s="196"/>
      <c r="I545" s="196"/>
      <c r="J545" s="198"/>
      <c r="K545" s="197"/>
      <c r="L545" s="197"/>
      <c r="M545" s="197"/>
      <c r="N545" s="199"/>
      <c r="O545" s="199"/>
      <c r="P545" s="199"/>
      <c r="Q545" s="199"/>
    </row>
    <row r="546" spans="4:17" ht="14.5" x14ac:dyDescent="0.35">
      <c r="D546" s="101"/>
      <c r="E546" s="200"/>
      <c r="F546" s="102"/>
      <c r="G546" s="196"/>
      <c r="H546" s="196"/>
      <c r="I546" s="196"/>
      <c r="J546" s="198"/>
      <c r="K546" s="197"/>
      <c r="L546" s="197"/>
      <c r="M546" s="197"/>
      <c r="N546" s="199"/>
      <c r="O546" s="199"/>
      <c r="P546" s="199"/>
      <c r="Q546" s="199"/>
    </row>
    <row r="547" spans="4:17" ht="14.5" x14ac:dyDescent="0.35">
      <c r="D547" s="101"/>
      <c r="E547" s="195"/>
      <c r="F547" s="102"/>
      <c r="G547" s="196"/>
      <c r="H547" s="196"/>
      <c r="I547" s="196"/>
      <c r="J547" s="198"/>
      <c r="K547" s="197"/>
      <c r="L547" s="197"/>
      <c r="M547" s="197"/>
      <c r="N547" s="199"/>
      <c r="O547" s="199"/>
      <c r="P547" s="199"/>
      <c r="Q547" s="199"/>
    </row>
    <row r="548" spans="4:17" ht="14.5" x14ac:dyDescent="0.35">
      <c r="D548" s="101"/>
      <c r="E548" s="195"/>
      <c r="F548" s="102"/>
      <c r="G548" s="196"/>
      <c r="H548" s="196"/>
      <c r="I548" s="196"/>
      <c r="J548" s="198"/>
      <c r="K548" s="197"/>
      <c r="L548" s="197"/>
      <c r="M548" s="197"/>
      <c r="N548" s="199"/>
      <c r="O548" s="199"/>
      <c r="P548" s="199"/>
      <c r="Q548" s="199"/>
    </row>
    <row r="549" spans="4:17" ht="14.5" x14ac:dyDescent="0.35">
      <c r="D549" s="101"/>
      <c r="E549" s="200"/>
      <c r="F549" s="102"/>
      <c r="G549" s="196"/>
      <c r="H549" s="196"/>
      <c r="I549" s="196"/>
      <c r="J549" s="198"/>
      <c r="K549" s="197"/>
      <c r="L549" s="197"/>
      <c r="M549" s="197"/>
      <c r="N549" s="199"/>
      <c r="O549" s="199"/>
      <c r="P549" s="199"/>
      <c r="Q549" s="199"/>
    </row>
    <row r="550" spans="4:17" ht="14.5" x14ac:dyDescent="0.35">
      <c r="D550" s="101"/>
      <c r="E550" s="200"/>
      <c r="F550" s="102"/>
      <c r="G550" s="196"/>
      <c r="H550" s="196"/>
      <c r="I550" s="196"/>
      <c r="J550" s="198"/>
      <c r="K550" s="197"/>
      <c r="L550" s="197"/>
      <c r="M550" s="197"/>
      <c r="N550" s="199"/>
      <c r="O550" s="199"/>
      <c r="P550" s="199"/>
      <c r="Q550" s="199"/>
    </row>
    <row r="551" spans="4:17" ht="14.5" x14ac:dyDescent="0.35">
      <c r="D551" s="101"/>
      <c r="E551" s="200"/>
      <c r="F551" s="102"/>
      <c r="G551" s="196"/>
      <c r="H551" s="196"/>
      <c r="I551" s="196"/>
      <c r="J551" s="198"/>
      <c r="K551" s="197"/>
      <c r="L551" s="197"/>
      <c r="M551" s="197"/>
      <c r="N551" s="199"/>
      <c r="O551" s="199"/>
      <c r="P551" s="199"/>
      <c r="Q551" s="199"/>
    </row>
    <row r="552" spans="4:17" ht="14.5" x14ac:dyDescent="0.35">
      <c r="D552" s="101"/>
      <c r="E552" s="200"/>
      <c r="F552" s="102"/>
      <c r="G552" s="196"/>
      <c r="H552" s="196"/>
      <c r="I552" s="196"/>
      <c r="J552" s="198"/>
      <c r="K552" s="197"/>
      <c r="L552" s="197"/>
      <c r="M552" s="197"/>
      <c r="N552" s="199"/>
      <c r="O552" s="199"/>
      <c r="P552" s="199"/>
      <c r="Q552" s="199"/>
    </row>
    <row r="553" spans="4:17" ht="14.5" x14ac:dyDescent="0.35">
      <c r="D553" s="101"/>
      <c r="E553" s="204"/>
      <c r="F553" s="102"/>
      <c r="G553" s="205"/>
      <c r="H553" s="205"/>
      <c r="I553" s="205"/>
      <c r="J553" s="207"/>
      <c r="K553" s="206"/>
      <c r="L553" s="206"/>
      <c r="M553" s="206"/>
      <c r="N553" s="208"/>
      <c r="O553" s="208"/>
      <c r="P553" s="208"/>
      <c r="Q553" s="208"/>
    </row>
    <row r="554" spans="4:17" ht="14.5" x14ac:dyDescent="0.35">
      <c r="D554" s="101"/>
      <c r="E554" s="209"/>
      <c r="F554" s="102"/>
      <c r="G554" s="205"/>
      <c r="H554" s="205"/>
      <c r="I554" s="205"/>
      <c r="J554" s="210"/>
      <c r="K554" s="208"/>
      <c r="L554" s="208"/>
      <c r="M554" s="208"/>
      <c r="N554" s="208"/>
      <c r="O554" s="208"/>
      <c r="P554" s="208"/>
      <c r="Q554" s="208"/>
    </row>
    <row r="555" spans="4:17" ht="14.5" x14ac:dyDescent="0.35">
      <c r="D555" s="101"/>
      <c r="E555" s="211"/>
      <c r="F555" s="102"/>
      <c r="G555" s="212"/>
      <c r="H555" s="212"/>
      <c r="I555" s="212"/>
      <c r="J555" s="214"/>
      <c r="K555" s="213"/>
      <c r="L555" s="213"/>
      <c r="M555" s="213"/>
      <c r="N555" s="215"/>
      <c r="O555" s="215"/>
      <c r="P555" s="215"/>
      <c r="Q555" s="215"/>
    </row>
    <row r="556" spans="4:17" ht="14.5" x14ac:dyDescent="0.35">
      <c r="D556" s="101"/>
      <c r="E556" s="211"/>
      <c r="F556" s="102"/>
      <c r="G556" s="212"/>
      <c r="H556" s="212"/>
      <c r="I556" s="212"/>
      <c r="J556" s="214"/>
      <c r="K556" s="213"/>
      <c r="L556" s="213"/>
      <c r="M556" s="213"/>
      <c r="N556" s="215"/>
      <c r="O556" s="215"/>
      <c r="P556" s="215"/>
      <c r="Q556" s="215"/>
    </row>
    <row r="557" spans="4:17" ht="14.5" x14ac:dyDescent="0.35">
      <c r="D557" s="101"/>
      <c r="E557" s="211"/>
      <c r="F557" s="102"/>
      <c r="G557" s="212"/>
      <c r="H557" s="212"/>
      <c r="I557" s="212"/>
      <c r="J557" s="214"/>
      <c r="K557" s="213"/>
      <c r="L557" s="213"/>
      <c r="M557" s="213"/>
      <c r="N557" s="215"/>
      <c r="O557" s="215"/>
      <c r="P557" s="215"/>
      <c r="Q557" s="215"/>
    </row>
    <row r="558" spans="4:17" ht="14.5" x14ac:dyDescent="0.35">
      <c r="D558" s="101"/>
      <c r="E558" s="211"/>
      <c r="F558" s="102"/>
      <c r="G558" s="212"/>
      <c r="H558" s="212"/>
      <c r="I558" s="212"/>
      <c r="J558" s="214"/>
      <c r="K558" s="213"/>
      <c r="L558" s="213"/>
      <c r="M558" s="213"/>
      <c r="N558" s="215"/>
      <c r="O558" s="215"/>
      <c r="P558" s="215"/>
      <c r="Q558" s="215"/>
    </row>
    <row r="559" spans="4:17" ht="14.5" x14ac:dyDescent="0.35">
      <c r="D559" s="101"/>
      <c r="E559" s="211"/>
      <c r="F559" s="102"/>
      <c r="G559" s="212"/>
      <c r="H559" s="212"/>
      <c r="I559" s="212"/>
      <c r="J559" s="214"/>
      <c r="K559" s="213"/>
      <c r="L559" s="213"/>
      <c r="M559" s="213"/>
      <c r="N559" s="215"/>
      <c r="O559" s="215"/>
      <c r="P559" s="215"/>
      <c r="Q559" s="215"/>
    </row>
    <row r="560" spans="4:17" ht="14.5" x14ac:dyDescent="0.35">
      <c r="D560" s="101"/>
      <c r="E560" s="211"/>
      <c r="F560" s="102"/>
      <c r="G560" s="212"/>
      <c r="H560" s="212"/>
      <c r="I560" s="212"/>
      <c r="J560" s="214"/>
      <c r="K560" s="213"/>
      <c r="L560" s="213"/>
      <c r="M560" s="213"/>
      <c r="N560" s="215"/>
      <c r="O560" s="215"/>
      <c r="P560" s="215"/>
      <c r="Q560" s="215"/>
    </row>
    <row r="561" spans="4:17" ht="14.5" x14ac:dyDescent="0.35">
      <c r="D561" s="101"/>
      <c r="E561" s="211"/>
      <c r="F561" s="102"/>
      <c r="G561" s="212"/>
      <c r="H561" s="212"/>
      <c r="I561" s="212"/>
      <c r="J561" s="214"/>
      <c r="K561" s="213"/>
      <c r="L561" s="213"/>
      <c r="M561" s="213"/>
      <c r="N561" s="215"/>
      <c r="O561" s="215"/>
      <c r="P561" s="215"/>
      <c r="Q561" s="215"/>
    </row>
    <row r="562" spans="4:17" ht="14.5" x14ac:dyDescent="0.35">
      <c r="D562" s="101"/>
      <c r="E562" s="211"/>
      <c r="F562" s="102"/>
      <c r="G562" s="212"/>
      <c r="H562" s="212"/>
      <c r="I562" s="212"/>
      <c r="J562" s="214"/>
      <c r="K562" s="213"/>
      <c r="L562" s="213"/>
      <c r="M562" s="213"/>
      <c r="N562" s="215"/>
      <c r="O562" s="215"/>
      <c r="P562" s="215"/>
      <c r="Q562" s="215"/>
    </row>
    <row r="563" spans="4:17" ht="14.5" x14ac:dyDescent="0.35">
      <c r="D563" s="101"/>
      <c r="E563" s="216"/>
      <c r="F563" s="102"/>
      <c r="G563" s="217"/>
      <c r="H563" s="217"/>
      <c r="I563" s="217"/>
      <c r="J563" s="214"/>
      <c r="K563" s="213"/>
      <c r="L563" s="213"/>
      <c r="M563" s="213"/>
      <c r="N563" s="215"/>
      <c r="O563" s="215"/>
      <c r="P563" s="215"/>
      <c r="Q563" s="215"/>
    </row>
    <row r="564" spans="4:17" ht="14.5" x14ac:dyDescent="0.35">
      <c r="D564" s="101"/>
      <c r="E564" s="216"/>
      <c r="F564" s="102"/>
      <c r="G564" s="212"/>
      <c r="H564" s="212"/>
      <c r="I564" s="212"/>
      <c r="J564" s="214"/>
      <c r="K564" s="213"/>
      <c r="L564" s="213"/>
      <c r="M564" s="213"/>
      <c r="N564" s="215"/>
      <c r="O564" s="215"/>
      <c r="P564" s="215"/>
      <c r="Q564" s="215"/>
    </row>
    <row r="565" spans="4:17" ht="14.5" x14ac:dyDescent="0.35">
      <c r="D565" s="101"/>
      <c r="E565" s="216"/>
      <c r="F565" s="102"/>
      <c r="G565" s="212"/>
      <c r="H565" s="212"/>
      <c r="I565" s="212"/>
      <c r="J565" s="218"/>
      <c r="K565" s="215"/>
      <c r="L565" s="215"/>
      <c r="M565" s="215"/>
      <c r="N565" s="215"/>
      <c r="O565" s="215"/>
      <c r="P565" s="215"/>
      <c r="Q565" s="215"/>
    </row>
    <row r="566" spans="4:17" ht="14.5" x14ac:dyDescent="0.35">
      <c r="D566" s="101"/>
      <c r="E566" s="211"/>
      <c r="F566" s="102"/>
      <c r="G566" s="212"/>
      <c r="H566" s="212"/>
      <c r="I566" s="212"/>
      <c r="J566" s="218"/>
      <c r="K566" s="215"/>
      <c r="L566" s="215"/>
      <c r="M566" s="215"/>
      <c r="N566" s="215"/>
      <c r="O566" s="215"/>
      <c r="P566" s="215"/>
      <c r="Q566" s="215"/>
    </row>
    <row r="567" spans="4:17" ht="14.5" x14ac:dyDescent="0.35">
      <c r="D567" s="101"/>
      <c r="E567" s="219"/>
      <c r="F567" s="102"/>
      <c r="G567" s="212"/>
      <c r="H567" s="220"/>
      <c r="I567" s="220"/>
      <c r="J567" s="214"/>
      <c r="K567" s="213"/>
      <c r="L567" s="213"/>
      <c r="M567" s="213"/>
      <c r="N567" s="215"/>
      <c r="O567" s="215"/>
      <c r="P567" s="215"/>
      <c r="Q567" s="215"/>
    </row>
    <row r="568" spans="4:17" ht="14.5" x14ac:dyDescent="0.35">
      <c r="D568" s="101"/>
      <c r="E568" s="211"/>
      <c r="F568" s="102"/>
      <c r="G568" s="212"/>
      <c r="H568" s="212"/>
      <c r="I568" s="212"/>
      <c r="J568" s="214"/>
      <c r="K568" s="213"/>
      <c r="L568" s="213"/>
      <c r="M568" s="213"/>
      <c r="N568" s="215"/>
      <c r="O568" s="215"/>
      <c r="P568" s="215"/>
      <c r="Q568" s="215"/>
    </row>
    <row r="569" spans="4:17" ht="14.5" x14ac:dyDescent="0.35">
      <c r="D569" s="101"/>
      <c r="E569" s="216"/>
      <c r="F569" s="102"/>
      <c r="G569" s="212"/>
      <c r="H569" s="212"/>
      <c r="I569" s="212"/>
      <c r="J569" s="214"/>
      <c r="K569" s="213"/>
      <c r="L569" s="213"/>
      <c r="M569" s="213"/>
      <c r="N569" s="215"/>
      <c r="O569" s="215"/>
      <c r="P569" s="215"/>
      <c r="Q569" s="215"/>
    </row>
    <row r="570" spans="4:17" ht="14.5" x14ac:dyDescent="0.35">
      <c r="D570" s="101"/>
      <c r="E570" s="216"/>
      <c r="F570" s="102"/>
      <c r="G570" s="212"/>
      <c r="H570" s="212"/>
      <c r="I570" s="212"/>
      <c r="J570" s="214"/>
      <c r="K570" s="213"/>
      <c r="L570" s="213"/>
      <c r="M570" s="213"/>
      <c r="N570" s="215"/>
      <c r="O570" s="215"/>
      <c r="P570" s="215"/>
      <c r="Q570" s="215"/>
    </row>
    <row r="571" spans="4:17" ht="14.5" x14ac:dyDescent="0.35">
      <c r="D571" s="101"/>
      <c r="E571" s="216"/>
      <c r="F571" s="102"/>
      <c r="G571" s="212"/>
      <c r="H571" s="212"/>
      <c r="I571" s="212"/>
      <c r="J571" s="218"/>
      <c r="K571" s="215"/>
      <c r="L571" s="215"/>
      <c r="M571" s="215"/>
      <c r="N571" s="215"/>
      <c r="O571" s="215"/>
      <c r="P571" s="215"/>
      <c r="Q571" s="215"/>
    </row>
    <row r="572" spans="4:17" ht="14.5" x14ac:dyDescent="0.35">
      <c r="D572" s="101"/>
      <c r="E572" s="211"/>
      <c r="F572" s="102"/>
      <c r="G572" s="212"/>
      <c r="H572" s="212"/>
      <c r="I572" s="212"/>
      <c r="J572" s="214"/>
      <c r="K572" s="213"/>
      <c r="L572" s="213"/>
      <c r="M572" s="213"/>
      <c r="N572" s="215"/>
      <c r="O572" s="215"/>
      <c r="P572" s="215"/>
      <c r="Q572" s="215"/>
    </row>
    <row r="573" spans="4:17" ht="14.5" x14ac:dyDescent="0.35">
      <c r="D573" s="101"/>
      <c r="E573" s="211"/>
      <c r="F573" s="102"/>
      <c r="G573" s="212"/>
      <c r="H573" s="212"/>
      <c r="I573" s="212"/>
      <c r="J573" s="214"/>
      <c r="K573" s="213"/>
      <c r="L573" s="213"/>
      <c r="M573" s="213"/>
      <c r="N573" s="215"/>
      <c r="O573" s="215"/>
      <c r="P573" s="215"/>
      <c r="Q573" s="215"/>
    </row>
    <row r="574" spans="4:17" ht="14.5" x14ac:dyDescent="0.35">
      <c r="D574" s="101"/>
      <c r="E574" s="211"/>
      <c r="F574" s="102"/>
      <c r="G574" s="212"/>
      <c r="H574" s="212"/>
      <c r="I574" s="212"/>
      <c r="J574" s="214"/>
      <c r="K574" s="213"/>
      <c r="L574" s="213"/>
      <c r="M574" s="213"/>
      <c r="N574" s="215"/>
      <c r="O574" s="215"/>
      <c r="P574" s="215"/>
      <c r="Q574" s="215"/>
    </row>
    <row r="575" spans="4:17" ht="14.5" x14ac:dyDescent="0.35">
      <c r="D575" s="101"/>
      <c r="E575" s="211"/>
      <c r="F575" s="102"/>
      <c r="G575" s="212"/>
      <c r="H575" s="212"/>
      <c r="I575" s="212"/>
      <c r="J575" s="214"/>
      <c r="K575" s="213"/>
      <c r="L575" s="213"/>
      <c r="M575" s="213"/>
      <c r="N575" s="215"/>
      <c r="O575" s="215"/>
      <c r="P575" s="215"/>
      <c r="Q575" s="215"/>
    </row>
    <row r="576" spans="4:17" ht="14.5" x14ac:dyDescent="0.35">
      <c r="D576" s="101"/>
      <c r="E576" s="211"/>
      <c r="F576" s="102"/>
      <c r="G576" s="212"/>
      <c r="H576" s="212"/>
      <c r="I576" s="212"/>
      <c r="J576" s="214"/>
      <c r="K576" s="213"/>
      <c r="L576" s="213"/>
      <c r="M576" s="213"/>
      <c r="N576" s="215"/>
      <c r="O576" s="215"/>
      <c r="P576" s="215"/>
      <c r="Q576" s="215"/>
    </row>
    <row r="577" spans="4:17" ht="14.5" x14ac:dyDescent="0.35">
      <c r="D577" s="101"/>
      <c r="E577" s="211"/>
      <c r="F577" s="102"/>
      <c r="G577" s="212"/>
      <c r="H577" s="212"/>
      <c r="I577" s="212"/>
      <c r="J577" s="214"/>
      <c r="K577" s="213"/>
      <c r="L577" s="213"/>
      <c r="M577" s="213"/>
      <c r="N577" s="215"/>
      <c r="O577" s="215"/>
      <c r="P577" s="215"/>
      <c r="Q577" s="215"/>
    </row>
    <row r="578" spans="4:17" ht="14.5" x14ac:dyDescent="0.35">
      <c r="D578" s="101"/>
      <c r="E578" s="211"/>
      <c r="F578" s="102"/>
      <c r="G578" s="212"/>
      <c r="H578" s="212"/>
      <c r="I578" s="212"/>
      <c r="J578" s="214"/>
      <c r="K578" s="213"/>
      <c r="L578" s="213"/>
      <c r="M578" s="213"/>
      <c r="N578" s="215"/>
      <c r="O578" s="215"/>
      <c r="P578" s="215"/>
      <c r="Q578" s="215"/>
    </row>
    <row r="579" spans="4:17" ht="14.5" x14ac:dyDescent="0.35">
      <c r="D579" s="101"/>
      <c r="E579" s="211"/>
      <c r="F579" s="102"/>
      <c r="G579" s="212"/>
      <c r="H579" s="212"/>
      <c r="I579" s="212"/>
      <c r="J579" s="214"/>
      <c r="K579" s="213"/>
      <c r="L579" s="213"/>
      <c r="M579" s="213"/>
      <c r="N579" s="215"/>
      <c r="O579" s="215"/>
      <c r="P579" s="215"/>
      <c r="Q579" s="215"/>
    </row>
    <row r="580" spans="4:17" ht="14.5" x14ac:dyDescent="0.35">
      <c r="D580" s="101"/>
      <c r="E580" s="211"/>
      <c r="F580" s="102"/>
      <c r="G580" s="212"/>
      <c r="H580" s="212"/>
      <c r="I580" s="212"/>
      <c r="J580" s="214"/>
      <c r="K580" s="213"/>
      <c r="L580" s="213"/>
      <c r="M580" s="213"/>
      <c r="N580" s="215"/>
      <c r="O580" s="215"/>
      <c r="P580" s="215"/>
      <c r="Q580" s="215"/>
    </row>
    <row r="581" spans="4:17" ht="14.5" x14ac:dyDescent="0.35">
      <c r="D581" s="101"/>
      <c r="E581" s="211"/>
      <c r="F581" s="102"/>
      <c r="G581" s="212"/>
      <c r="H581" s="212"/>
      <c r="I581" s="212"/>
      <c r="J581" s="214"/>
      <c r="K581" s="213"/>
      <c r="L581" s="213"/>
      <c r="M581" s="213"/>
      <c r="N581" s="215"/>
      <c r="O581" s="215"/>
      <c r="P581" s="215"/>
      <c r="Q581" s="215"/>
    </row>
    <row r="582" spans="4:17" ht="14.5" x14ac:dyDescent="0.35">
      <c r="D582" s="101"/>
      <c r="E582" s="211"/>
      <c r="F582" s="102"/>
      <c r="G582" s="212"/>
      <c r="H582" s="212"/>
      <c r="I582" s="212"/>
      <c r="J582" s="214"/>
      <c r="K582" s="213"/>
      <c r="L582" s="213"/>
      <c r="M582" s="213"/>
      <c r="N582" s="215"/>
      <c r="O582" s="215"/>
      <c r="P582" s="215"/>
      <c r="Q582" s="215"/>
    </row>
    <row r="583" spans="4:17" ht="14.5" x14ac:dyDescent="0.35">
      <c r="D583" s="101"/>
      <c r="E583" s="211"/>
      <c r="F583" s="102"/>
      <c r="G583" s="212"/>
      <c r="H583" s="212"/>
      <c r="I583" s="212"/>
      <c r="J583" s="214"/>
      <c r="K583" s="213"/>
      <c r="L583" s="213"/>
      <c r="M583" s="213"/>
      <c r="N583" s="215"/>
      <c r="O583" s="215"/>
      <c r="P583" s="215"/>
      <c r="Q583" s="215"/>
    </row>
    <row r="584" spans="4:17" ht="14.5" x14ac:dyDescent="0.35">
      <c r="D584" s="101"/>
      <c r="E584" s="211"/>
      <c r="F584" s="102"/>
      <c r="G584" s="212"/>
      <c r="H584" s="212"/>
      <c r="I584" s="212"/>
      <c r="J584" s="214"/>
      <c r="K584" s="213"/>
      <c r="L584" s="213"/>
      <c r="M584" s="213"/>
      <c r="N584" s="215"/>
      <c r="O584" s="215"/>
      <c r="P584" s="215"/>
      <c r="Q584" s="215"/>
    </row>
    <row r="585" spans="4:17" ht="14.5" x14ac:dyDescent="0.35">
      <c r="D585" s="101"/>
      <c r="E585" s="211"/>
      <c r="F585" s="102"/>
      <c r="G585" s="212"/>
      <c r="H585" s="212"/>
      <c r="I585" s="212"/>
      <c r="J585" s="214"/>
      <c r="K585" s="213"/>
      <c r="L585" s="213"/>
      <c r="M585" s="213"/>
      <c r="N585" s="215"/>
      <c r="O585" s="215"/>
      <c r="P585" s="215"/>
      <c r="Q585" s="215"/>
    </row>
    <row r="586" spans="4:17" ht="14.5" x14ac:dyDescent="0.35">
      <c r="D586" s="101"/>
      <c r="E586" s="211"/>
      <c r="F586" s="102"/>
      <c r="G586" s="212"/>
      <c r="H586" s="212"/>
      <c r="I586" s="212"/>
      <c r="J586" s="214"/>
      <c r="K586" s="213"/>
      <c r="L586" s="213"/>
      <c r="M586" s="213"/>
      <c r="N586" s="215"/>
      <c r="O586" s="215"/>
      <c r="P586" s="215"/>
      <c r="Q586" s="215"/>
    </row>
    <row r="587" spans="4:17" ht="14.5" x14ac:dyDescent="0.35">
      <c r="D587" s="101"/>
      <c r="E587" s="211"/>
      <c r="F587" s="102"/>
      <c r="G587" s="212"/>
      <c r="H587" s="212"/>
      <c r="I587" s="212"/>
      <c r="J587" s="214"/>
      <c r="K587" s="213"/>
      <c r="L587" s="213"/>
      <c r="M587" s="213"/>
      <c r="N587" s="215"/>
      <c r="O587" s="215"/>
      <c r="P587" s="215"/>
      <c r="Q587" s="215"/>
    </row>
    <row r="588" spans="4:17" ht="14.5" x14ac:dyDescent="0.35">
      <c r="D588" s="101"/>
      <c r="E588" s="216"/>
      <c r="F588" s="102"/>
      <c r="G588" s="217"/>
      <c r="H588" s="217"/>
      <c r="I588" s="217"/>
      <c r="J588" s="214"/>
      <c r="K588" s="213"/>
      <c r="L588" s="213"/>
      <c r="M588" s="213"/>
      <c r="N588" s="215"/>
      <c r="O588" s="215"/>
      <c r="P588" s="215"/>
      <c r="Q588" s="215"/>
    </row>
    <row r="589" spans="4:17" ht="14.5" x14ac:dyDescent="0.35">
      <c r="D589" s="101"/>
      <c r="E589" s="216"/>
      <c r="F589" s="102"/>
      <c r="G589" s="217"/>
      <c r="H589" s="217"/>
      <c r="I589" s="217"/>
      <c r="J589" s="214"/>
      <c r="K589" s="213"/>
      <c r="L589" s="213"/>
      <c r="M589" s="213"/>
      <c r="N589" s="215"/>
      <c r="O589" s="215"/>
      <c r="P589" s="215"/>
      <c r="Q589" s="215"/>
    </row>
    <row r="590" spans="4:17" ht="14.5" x14ac:dyDescent="0.35">
      <c r="D590" s="101"/>
      <c r="E590" s="211"/>
      <c r="F590" s="102"/>
      <c r="G590" s="212"/>
      <c r="H590" s="212"/>
      <c r="I590" s="212"/>
      <c r="J590" s="214"/>
      <c r="K590" s="213"/>
      <c r="L590" s="213"/>
      <c r="M590" s="213"/>
      <c r="N590" s="215"/>
      <c r="O590" s="215"/>
      <c r="P590" s="215"/>
      <c r="Q590" s="215"/>
    </row>
    <row r="591" spans="4:17" ht="14.5" x14ac:dyDescent="0.35">
      <c r="D591" s="101"/>
      <c r="E591" s="211"/>
      <c r="F591" s="102"/>
      <c r="G591" s="212"/>
      <c r="H591" s="212"/>
      <c r="I591" s="212"/>
      <c r="J591" s="214"/>
      <c r="K591" s="213"/>
      <c r="L591" s="213"/>
      <c r="M591" s="213"/>
      <c r="N591" s="215"/>
      <c r="O591" s="215"/>
      <c r="P591" s="215"/>
      <c r="Q591" s="215"/>
    </row>
    <row r="592" spans="4:17" ht="14.5" x14ac:dyDescent="0.35">
      <c r="D592" s="101"/>
      <c r="E592" s="211"/>
      <c r="F592" s="102"/>
      <c r="G592" s="212"/>
      <c r="H592" s="212"/>
      <c r="I592" s="212"/>
      <c r="J592" s="214"/>
      <c r="K592" s="213"/>
      <c r="L592" s="213"/>
      <c r="M592" s="213"/>
      <c r="N592" s="215"/>
      <c r="O592" s="215"/>
      <c r="P592" s="215"/>
      <c r="Q592" s="215"/>
    </row>
    <row r="593" spans="4:17" ht="14.5" x14ac:dyDescent="0.35">
      <c r="D593" s="101"/>
      <c r="E593" s="211"/>
      <c r="F593" s="102"/>
      <c r="G593" s="212"/>
      <c r="H593" s="212"/>
      <c r="I593" s="212"/>
      <c r="J593" s="214"/>
      <c r="K593" s="213"/>
      <c r="L593" s="213"/>
      <c r="M593" s="213"/>
      <c r="N593" s="215"/>
      <c r="O593" s="215"/>
      <c r="P593" s="215"/>
      <c r="Q593" s="215"/>
    </row>
    <row r="594" spans="4:17" ht="14.5" x14ac:dyDescent="0.35">
      <c r="D594" s="101"/>
      <c r="E594" s="221"/>
      <c r="F594" s="102"/>
      <c r="G594" s="222"/>
      <c r="H594" s="222"/>
      <c r="I594" s="222"/>
      <c r="J594" s="224"/>
      <c r="K594" s="223"/>
      <c r="L594" s="223"/>
      <c r="M594" s="223"/>
      <c r="N594" s="225"/>
      <c r="O594" s="225"/>
      <c r="P594" s="225"/>
      <c r="Q594" s="225"/>
    </row>
    <row r="595" spans="4:17" ht="14.5" x14ac:dyDescent="0.35">
      <c r="D595" s="101"/>
      <c r="E595" s="221"/>
      <c r="F595" s="102"/>
      <c r="G595" s="222"/>
      <c r="H595" s="222"/>
      <c r="I595" s="222"/>
      <c r="J595" s="224"/>
      <c r="K595" s="223"/>
      <c r="L595" s="223"/>
      <c r="M595" s="223"/>
      <c r="N595" s="225"/>
      <c r="O595" s="225"/>
      <c r="P595" s="225"/>
      <c r="Q595" s="225"/>
    </row>
    <row r="596" spans="4:17" ht="14.5" x14ac:dyDescent="0.35">
      <c r="D596" s="101"/>
      <c r="E596" s="221"/>
      <c r="F596" s="102"/>
      <c r="G596" s="222"/>
      <c r="H596" s="222"/>
      <c r="I596" s="222"/>
      <c r="J596" s="224"/>
      <c r="K596" s="223"/>
      <c r="L596" s="223"/>
      <c r="M596" s="223"/>
      <c r="N596" s="225"/>
      <c r="O596" s="225"/>
      <c r="P596" s="225"/>
      <c r="Q596" s="225"/>
    </row>
    <row r="597" spans="4:17" ht="14.5" x14ac:dyDescent="0.35">
      <c r="D597" s="101"/>
      <c r="E597" s="221"/>
      <c r="F597" s="102"/>
      <c r="G597" s="222"/>
      <c r="H597" s="222"/>
      <c r="I597" s="222"/>
      <c r="J597" s="226"/>
      <c r="K597" s="225"/>
      <c r="L597" s="225"/>
      <c r="M597" s="225"/>
      <c r="N597" s="225"/>
      <c r="O597" s="225"/>
      <c r="P597" s="225"/>
      <c r="Q597" s="225"/>
    </row>
    <row r="598" spans="4:17" ht="14.5" x14ac:dyDescent="0.35">
      <c r="D598" s="101"/>
      <c r="E598" s="227"/>
      <c r="F598" s="102"/>
      <c r="G598" s="222"/>
      <c r="H598" s="222"/>
      <c r="I598" s="222"/>
      <c r="J598" s="229"/>
      <c r="K598" s="230"/>
      <c r="L598" s="228"/>
      <c r="M598" s="228"/>
      <c r="N598" s="225"/>
      <c r="O598" s="225"/>
      <c r="P598" s="225"/>
      <c r="Q598" s="225"/>
    </row>
    <row r="599" spans="4:17" ht="14.5" x14ac:dyDescent="0.35">
      <c r="D599" s="101"/>
      <c r="E599" s="227"/>
      <c r="F599" s="102"/>
      <c r="G599" s="222"/>
      <c r="H599" s="222"/>
      <c r="I599" s="222"/>
      <c r="J599" s="229"/>
      <c r="K599" s="230"/>
      <c r="L599" s="228"/>
      <c r="M599" s="230"/>
      <c r="N599" s="225"/>
      <c r="O599" s="225"/>
      <c r="P599" s="225"/>
      <c r="Q599" s="225"/>
    </row>
    <row r="600" spans="4:17" ht="14.5" x14ac:dyDescent="0.35">
      <c r="D600" s="101"/>
      <c r="E600" s="227"/>
      <c r="F600" s="102"/>
      <c r="G600" s="222"/>
      <c r="H600" s="222"/>
      <c r="I600" s="222"/>
      <c r="J600" s="229"/>
      <c r="K600" s="230"/>
      <c r="L600" s="228"/>
      <c r="M600" s="230"/>
      <c r="N600" s="225"/>
      <c r="O600" s="225"/>
      <c r="P600" s="225"/>
      <c r="Q600" s="225"/>
    </row>
    <row r="601" spans="4:17" ht="14.5" x14ac:dyDescent="0.35">
      <c r="D601" s="101"/>
      <c r="E601" s="227"/>
      <c r="F601" s="102"/>
      <c r="G601" s="222"/>
      <c r="H601" s="222"/>
      <c r="I601" s="222"/>
      <c r="J601" s="229"/>
      <c r="K601" s="230"/>
      <c r="L601" s="230"/>
      <c r="M601" s="230"/>
      <c r="N601" s="225"/>
      <c r="O601" s="225"/>
      <c r="P601" s="225"/>
      <c r="Q601" s="225"/>
    </row>
    <row r="602" spans="4:17" ht="14.5" x14ac:dyDescent="0.35">
      <c r="D602" s="101"/>
      <c r="E602" s="231"/>
      <c r="F602" s="102"/>
      <c r="G602" s="232"/>
      <c r="H602" s="232"/>
      <c r="I602" s="232"/>
      <c r="J602" s="234"/>
      <c r="K602" s="233"/>
      <c r="L602" s="233"/>
      <c r="M602" s="233"/>
      <c r="N602" s="235"/>
      <c r="O602" s="235"/>
      <c r="P602" s="235"/>
      <c r="Q602" s="235"/>
    </row>
    <row r="603" spans="4:17" ht="14.5" x14ac:dyDescent="0.35">
      <c r="D603" s="101"/>
      <c r="E603" s="231"/>
      <c r="F603" s="102"/>
      <c r="G603" s="232"/>
      <c r="H603" s="232"/>
      <c r="I603" s="232"/>
      <c r="J603" s="234"/>
      <c r="K603" s="233"/>
      <c r="L603" s="233"/>
      <c r="M603" s="233"/>
      <c r="N603" s="235"/>
      <c r="O603" s="235"/>
      <c r="P603" s="235"/>
      <c r="Q603" s="235"/>
    </row>
    <row r="604" spans="4:17" ht="14.5" x14ac:dyDescent="0.35">
      <c r="D604" s="101"/>
      <c r="E604" s="231"/>
      <c r="F604" s="102"/>
      <c r="G604" s="232"/>
      <c r="H604" s="232"/>
      <c r="I604" s="232"/>
      <c r="J604" s="234"/>
      <c r="K604" s="233"/>
      <c r="L604" s="233"/>
      <c r="M604" s="233"/>
      <c r="N604" s="235"/>
      <c r="O604" s="235"/>
      <c r="P604" s="235"/>
      <c r="Q604" s="235"/>
    </row>
    <row r="605" spans="4:17" ht="14.5" x14ac:dyDescent="0.35">
      <c r="D605" s="101"/>
      <c r="E605" s="236"/>
      <c r="F605" s="102"/>
      <c r="G605" s="232"/>
      <c r="H605" s="232"/>
      <c r="I605" s="232"/>
      <c r="J605" s="237"/>
      <c r="K605" s="235"/>
      <c r="L605" s="235"/>
      <c r="M605" s="235"/>
      <c r="N605" s="235"/>
      <c r="O605" s="235"/>
      <c r="P605" s="235"/>
      <c r="Q605" s="235"/>
    </row>
    <row r="606" spans="4:17" ht="14.5" x14ac:dyDescent="0.35">
      <c r="D606" s="101"/>
      <c r="E606" s="236"/>
      <c r="F606" s="102"/>
      <c r="G606" s="232"/>
      <c r="H606" s="232"/>
      <c r="I606" s="232"/>
      <c r="J606" s="234"/>
      <c r="K606" s="233"/>
      <c r="L606" s="233"/>
      <c r="M606" s="233"/>
      <c r="N606" s="235"/>
      <c r="O606" s="235"/>
      <c r="P606" s="235"/>
      <c r="Q606" s="235"/>
    </row>
    <row r="607" spans="4:17" ht="14.5" x14ac:dyDescent="0.35">
      <c r="D607" s="101"/>
      <c r="E607" s="238"/>
      <c r="F607" s="102"/>
      <c r="G607" s="232"/>
      <c r="H607" s="232"/>
      <c r="I607" s="232"/>
      <c r="J607" s="240"/>
      <c r="K607" s="241"/>
      <c r="L607" s="239"/>
      <c r="M607" s="241"/>
      <c r="N607" s="235"/>
      <c r="O607" s="235"/>
      <c r="P607" s="235"/>
      <c r="Q607" s="235"/>
    </row>
    <row r="608" spans="4:17" ht="14.5" x14ac:dyDescent="0.35">
      <c r="D608" s="101"/>
      <c r="E608" s="238"/>
      <c r="F608" s="102"/>
      <c r="G608" s="232"/>
      <c r="H608" s="232"/>
      <c r="I608" s="232"/>
      <c r="J608" s="240"/>
      <c r="K608" s="241"/>
      <c r="L608" s="239"/>
      <c r="M608" s="241"/>
      <c r="N608" s="235"/>
      <c r="O608" s="235"/>
      <c r="P608" s="235"/>
      <c r="Q608" s="235"/>
    </row>
    <row r="609" spans="4:17" ht="14.5" x14ac:dyDescent="0.35">
      <c r="D609" s="101"/>
      <c r="E609" s="238"/>
      <c r="F609" s="102"/>
      <c r="G609" s="232"/>
      <c r="H609" s="232"/>
      <c r="I609" s="232"/>
      <c r="J609" s="240"/>
      <c r="K609" s="241"/>
      <c r="L609" s="241"/>
      <c r="M609" s="241"/>
      <c r="N609" s="235"/>
      <c r="O609" s="235"/>
      <c r="P609" s="235"/>
      <c r="Q609" s="235"/>
    </row>
    <row r="610" spans="4:17" ht="14.5" x14ac:dyDescent="0.35">
      <c r="D610" s="101"/>
      <c r="E610" s="238"/>
      <c r="F610" s="102"/>
      <c r="G610" s="232"/>
      <c r="H610" s="232"/>
      <c r="I610" s="232"/>
      <c r="J610" s="240"/>
      <c r="K610" s="241"/>
      <c r="L610" s="239"/>
      <c r="M610" s="241"/>
      <c r="N610" s="235"/>
      <c r="O610" s="235"/>
      <c r="P610" s="235"/>
      <c r="Q610" s="235"/>
    </row>
    <row r="611" spans="4:17" ht="14.5" x14ac:dyDescent="0.35">
      <c r="D611" s="101"/>
      <c r="E611" s="236"/>
      <c r="F611" s="102"/>
      <c r="G611" s="232"/>
      <c r="H611" s="232"/>
      <c r="I611" s="232"/>
      <c r="J611" s="234"/>
      <c r="K611" s="233"/>
      <c r="L611" s="233"/>
      <c r="M611" s="233"/>
      <c r="N611" s="235"/>
      <c r="O611" s="235"/>
      <c r="P611" s="235"/>
      <c r="Q611" s="235"/>
    </row>
    <row r="612" spans="4:17" ht="14.5" x14ac:dyDescent="0.35">
      <c r="D612" s="101"/>
      <c r="E612" s="236"/>
      <c r="F612" s="102"/>
      <c r="G612" s="232"/>
      <c r="H612" s="232"/>
      <c r="I612" s="232"/>
      <c r="J612" s="234"/>
      <c r="K612" s="233"/>
      <c r="L612" s="233"/>
      <c r="M612" s="233"/>
      <c r="N612" s="235"/>
      <c r="O612" s="235"/>
      <c r="P612" s="235"/>
      <c r="Q612" s="235"/>
    </row>
    <row r="613" spans="4:17" ht="14.5" x14ac:dyDescent="0.35">
      <c r="D613" s="101"/>
      <c r="E613" s="236"/>
      <c r="F613" s="102"/>
      <c r="G613" s="232"/>
      <c r="H613" s="232"/>
      <c r="I613" s="232"/>
      <c r="J613" s="234"/>
      <c r="K613" s="233"/>
      <c r="L613" s="233"/>
      <c r="M613" s="233"/>
      <c r="N613" s="235"/>
      <c r="O613" s="235"/>
      <c r="P613" s="235"/>
      <c r="Q613" s="235"/>
    </row>
    <row r="614" spans="4:17" ht="14.5" x14ac:dyDescent="0.35">
      <c r="D614" s="101"/>
      <c r="E614" s="236"/>
      <c r="F614" s="102"/>
      <c r="G614" s="232"/>
      <c r="H614" s="232"/>
      <c r="I614" s="232"/>
      <c r="J614" s="234"/>
      <c r="K614" s="233"/>
      <c r="L614" s="233"/>
      <c r="M614" s="233"/>
      <c r="N614" s="235"/>
      <c r="O614" s="235"/>
      <c r="P614" s="235"/>
      <c r="Q614" s="235"/>
    </row>
    <row r="615" spans="4:17" ht="14.5" x14ac:dyDescent="0.35">
      <c r="D615" s="101"/>
      <c r="E615" s="231"/>
      <c r="F615" s="102"/>
      <c r="G615" s="242"/>
      <c r="H615" s="242"/>
      <c r="I615" s="242"/>
      <c r="J615" s="234"/>
      <c r="K615" s="233"/>
      <c r="L615" s="233"/>
      <c r="M615" s="233"/>
      <c r="N615" s="235"/>
      <c r="O615" s="235"/>
      <c r="P615" s="235"/>
      <c r="Q615" s="235"/>
    </row>
    <row r="616" spans="4:17" ht="14.5" x14ac:dyDescent="0.35">
      <c r="D616" s="101"/>
      <c r="E616" s="238"/>
      <c r="F616" s="102"/>
      <c r="G616" s="232"/>
      <c r="H616" s="232"/>
      <c r="I616" s="232"/>
      <c r="J616" s="240"/>
      <c r="K616" s="241"/>
      <c r="L616" s="239"/>
      <c r="M616" s="241"/>
      <c r="N616" s="235"/>
      <c r="O616" s="235"/>
      <c r="P616" s="235"/>
      <c r="Q616" s="235"/>
    </row>
    <row r="617" spans="4:17" ht="14.5" x14ac:dyDescent="0.35">
      <c r="D617" s="101"/>
      <c r="E617" s="238"/>
      <c r="F617" s="102"/>
      <c r="G617" s="232"/>
      <c r="H617" s="232"/>
      <c r="I617" s="232"/>
      <c r="J617" s="240"/>
      <c r="K617" s="241"/>
      <c r="L617" s="239"/>
      <c r="M617" s="241"/>
      <c r="N617" s="235"/>
      <c r="O617" s="235"/>
      <c r="P617" s="235"/>
      <c r="Q617" s="235"/>
    </row>
    <row r="618" spans="4:17" ht="14.5" x14ac:dyDescent="0.35">
      <c r="D618" s="101"/>
      <c r="E618" s="238"/>
      <c r="F618" s="102"/>
      <c r="G618" s="232"/>
      <c r="H618" s="232"/>
      <c r="I618" s="232"/>
      <c r="J618" s="240"/>
      <c r="K618" s="241"/>
      <c r="L618" s="241"/>
      <c r="M618" s="241"/>
      <c r="N618" s="235"/>
      <c r="O618" s="235"/>
      <c r="P618" s="235"/>
      <c r="Q618" s="235"/>
    </row>
    <row r="619" spans="4:17" ht="14.5" x14ac:dyDescent="0.35">
      <c r="D619" s="101"/>
      <c r="E619" s="238"/>
      <c r="F619" s="102"/>
      <c r="G619" s="232"/>
      <c r="H619" s="232"/>
      <c r="I619" s="232"/>
      <c r="J619" s="240"/>
      <c r="K619" s="241"/>
      <c r="L619" s="239"/>
      <c r="M619" s="241"/>
      <c r="N619" s="235"/>
      <c r="O619" s="235"/>
      <c r="P619" s="235"/>
      <c r="Q619" s="235"/>
    </row>
    <row r="620" spans="4:17" ht="14.5" x14ac:dyDescent="0.35">
      <c r="D620" s="101"/>
      <c r="E620" s="238"/>
      <c r="F620" s="102"/>
      <c r="G620" s="232"/>
      <c r="H620" s="232"/>
      <c r="I620" s="232"/>
      <c r="J620" s="240"/>
      <c r="K620" s="241"/>
      <c r="L620" s="239"/>
      <c r="M620" s="241"/>
      <c r="N620" s="235"/>
      <c r="O620" s="235"/>
      <c r="P620" s="235"/>
      <c r="Q620" s="235"/>
    </row>
    <row r="621" spans="4:17" ht="14.5" x14ac:dyDescent="0.35">
      <c r="D621" s="101"/>
      <c r="E621" s="231"/>
      <c r="F621" s="102"/>
      <c r="G621" s="232"/>
      <c r="H621" s="232"/>
      <c r="I621" s="232"/>
      <c r="J621" s="234"/>
      <c r="K621" s="233"/>
      <c r="L621" s="233"/>
      <c r="M621" s="233"/>
      <c r="N621" s="235"/>
      <c r="O621" s="235"/>
      <c r="P621" s="235"/>
      <c r="Q621" s="235"/>
    </row>
    <row r="622" spans="4:17" ht="14.5" x14ac:dyDescent="0.35">
      <c r="D622" s="101"/>
      <c r="E622" s="231"/>
      <c r="F622" s="102"/>
      <c r="G622" s="232"/>
      <c r="H622" s="232"/>
      <c r="I622" s="232"/>
      <c r="J622" s="237"/>
      <c r="K622" s="235"/>
      <c r="L622" s="235"/>
      <c r="M622" s="235"/>
      <c r="N622" s="235"/>
      <c r="O622" s="235"/>
      <c r="P622" s="235"/>
      <c r="Q622" s="235"/>
    </row>
    <row r="623" spans="4:17" ht="14.5" x14ac:dyDescent="0.35">
      <c r="D623" s="101"/>
      <c r="E623" s="231"/>
      <c r="F623" s="102"/>
      <c r="G623" s="232"/>
      <c r="H623" s="232"/>
      <c r="I623" s="232"/>
      <c r="J623" s="234"/>
      <c r="K623" s="233"/>
      <c r="L623" s="233"/>
      <c r="M623" s="233"/>
      <c r="N623" s="235"/>
      <c r="O623" s="235"/>
      <c r="P623" s="235"/>
      <c r="Q623" s="235"/>
    </row>
    <row r="624" spans="4:17" ht="14.5" x14ac:dyDescent="0.35">
      <c r="D624" s="101"/>
      <c r="E624" s="238"/>
      <c r="F624" s="102"/>
      <c r="G624" s="232"/>
      <c r="H624" s="232"/>
      <c r="I624" s="232"/>
      <c r="J624" s="240"/>
      <c r="K624" s="241"/>
      <c r="L624" s="239"/>
      <c r="M624" s="241"/>
      <c r="N624" s="235"/>
      <c r="O624" s="235"/>
      <c r="P624" s="235"/>
      <c r="Q624" s="235"/>
    </row>
    <row r="625" spans="4:17" ht="14.5" x14ac:dyDescent="0.35">
      <c r="D625" s="101"/>
      <c r="E625" s="238"/>
      <c r="F625" s="102"/>
      <c r="G625" s="232"/>
      <c r="H625" s="232"/>
      <c r="I625" s="232"/>
      <c r="J625" s="240"/>
      <c r="K625" s="241"/>
      <c r="L625" s="239"/>
      <c r="M625" s="241"/>
      <c r="N625" s="235"/>
      <c r="O625" s="235"/>
      <c r="P625" s="235"/>
      <c r="Q625" s="235"/>
    </row>
    <row r="626" spans="4:17" ht="14.5" x14ac:dyDescent="0.35">
      <c r="D626" s="101"/>
      <c r="E626" s="231"/>
      <c r="F626" s="102"/>
      <c r="G626" s="232"/>
      <c r="H626" s="232"/>
      <c r="I626" s="232"/>
      <c r="J626" s="234"/>
      <c r="K626" s="233"/>
      <c r="L626" s="233"/>
      <c r="M626" s="233"/>
      <c r="N626" s="235"/>
      <c r="O626" s="235"/>
      <c r="P626" s="235"/>
      <c r="Q626" s="235"/>
    </row>
    <row r="627" spans="4:17" ht="14.5" x14ac:dyDescent="0.35">
      <c r="D627" s="101"/>
      <c r="E627" s="231"/>
      <c r="F627" s="102"/>
      <c r="G627" s="232"/>
      <c r="H627" s="232"/>
      <c r="I627" s="232"/>
      <c r="J627" s="237"/>
      <c r="K627" s="235"/>
      <c r="L627" s="235"/>
      <c r="M627" s="235"/>
      <c r="N627" s="235"/>
      <c r="O627" s="235"/>
      <c r="P627" s="235"/>
      <c r="Q627" s="235"/>
    </row>
    <row r="628" spans="4:17" ht="14.5" x14ac:dyDescent="0.35">
      <c r="D628" s="101"/>
      <c r="E628" s="236"/>
      <c r="F628" s="102"/>
      <c r="G628" s="232"/>
      <c r="H628" s="232"/>
      <c r="I628" s="232"/>
      <c r="J628" s="234"/>
      <c r="K628" s="233"/>
      <c r="L628" s="233"/>
      <c r="M628" s="233"/>
      <c r="N628" s="235"/>
      <c r="O628" s="235"/>
      <c r="P628" s="235"/>
      <c r="Q628" s="235"/>
    </row>
    <row r="629" spans="4:17" ht="14.5" x14ac:dyDescent="0.35">
      <c r="D629" s="101"/>
      <c r="E629" s="236"/>
      <c r="F629" s="102"/>
      <c r="G629" s="232"/>
      <c r="H629" s="232"/>
      <c r="I629" s="232"/>
      <c r="J629" s="234"/>
      <c r="K629" s="233"/>
      <c r="L629" s="233"/>
      <c r="M629" s="233"/>
      <c r="N629" s="235"/>
      <c r="O629" s="235"/>
      <c r="P629" s="235"/>
      <c r="Q629" s="235"/>
    </row>
    <row r="630" spans="4:17" ht="14.5" x14ac:dyDescent="0.35">
      <c r="D630" s="101"/>
      <c r="E630" s="236"/>
      <c r="F630" s="102"/>
      <c r="G630" s="232"/>
      <c r="H630" s="232"/>
      <c r="I630" s="232"/>
      <c r="J630" s="234"/>
      <c r="K630" s="233"/>
      <c r="L630" s="233"/>
      <c r="M630" s="233"/>
      <c r="N630" s="235"/>
      <c r="O630" s="235"/>
      <c r="P630" s="235"/>
      <c r="Q630" s="235"/>
    </row>
    <row r="631" spans="4:17" ht="14.5" x14ac:dyDescent="0.35">
      <c r="D631" s="101"/>
      <c r="E631" s="238"/>
      <c r="F631" s="102"/>
      <c r="G631" s="232"/>
      <c r="H631" s="232"/>
      <c r="I631" s="232"/>
      <c r="J631" s="240"/>
      <c r="K631" s="241"/>
      <c r="L631" s="241"/>
      <c r="M631" s="241"/>
      <c r="N631" s="235"/>
      <c r="O631" s="235"/>
      <c r="P631" s="235"/>
      <c r="Q631" s="235"/>
    </row>
    <row r="632" spans="4:17" ht="14.5" x14ac:dyDescent="0.35">
      <c r="D632" s="101"/>
      <c r="E632" s="238"/>
      <c r="F632" s="102"/>
      <c r="G632" s="232"/>
      <c r="H632" s="232"/>
      <c r="I632" s="232"/>
      <c r="J632" s="240"/>
      <c r="K632" s="241"/>
      <c r="L632" s="239"/>
      <c r="M632" s="241"/>
      <c r="N632" s="235"/>
      <c r="O632" s="235"/>
      <c r="P632" s="235"/>
      <c r="Q632" s="235"/>
    </row>
    <row r="633" spans="4:17" ht="14.5" x14ac:dyDescent="0.35">
      <c r="D633" s="101"/>
      <c r="E633" s="238"/>
      <c r="F633" s="102"/>
      <c r="G633" s="232"/>
      <c r="H633" s="232"/>
      <c r="I633" s="232"/>
      <c r="J633" s="240"/>
      <c r="K633" s="241"/>
      <c r="L633" s="239"/>
      <c r="M633" s="241"/>
      <c r="N633" s="235"/>
      <c r="O633" s="235"/>
      <c r="P633" s="235"/>
      <c r="Q633" s="235"/>
    </row>
    <row r="634" spans="4:17" ht="14.5" x14ac:dyDescent="0.35">
      <c r="D634" s="101"/>
      <c r="E634" s="238"/>
      <c r="F634" s="102"/>
      <c r="G634" s="232"/>
      <c r="H634" s="232"/>
      <c r="I634" s="232"/>
      <c r="J634" s="240"/>
      <c r="K634" s="241"/>
      <c r="L634" s="239"/>
      <c r="M634" s="241"/>
      <c r="N634" s="235"/>
      <c r="O634" s="235"/>
      <c r="P634" s="235"/>
      <c r="Q634" s="235"/>
    </row>
    <row r="635" spans="4:17" ht="14.5" x14ac:dyDescent="0.35">
      <c r="D635" s="101"/>
      <c r="E635" s="238"/>
      <c r="F635" s="102"/>
      <c r="G635" s="232"/>
      <c r="H635" s="232"/>
      <c r="I635" s="232"/>
      <c r="J635" s="240"/>
      <c r="K635" s="241"/>
      <c r="L635" s="241"/>
      <c r="M635" s="241"/>
      <c r="N635" s="235"/>
      <c r="O635" s="235"/>
      <c r="P635" s="235"/>
      <c r="Q635" s="235"/>
    </row>
    <row r="636" spans="4:17" ht="14.5" x14ac:dyDescent="0.35">
      <c r="D636" s="101"/>
      <c r="E636" s="236"/>
      <c r="F636" s="102"/>
      <c r="G636" s="232"/>
      <c r="H636" s="232"/>
      <c r="I636" s="232"/>
      <c r="J636" s="234"/>
      <c r="K636" s="233"/>
      <c r="L636" s="233"/>
      <c r="M636" s="233"/>
      <c r="N636" s="235"/>
      <c r="O636" s="235"/>
      <c r="P636" s="235"/>
      <c r="Q636" s="235"/>
    </row>
    <row r="637" spans="4:17" ht="14.5" x14ac:dyDescent="0.35">
      <c r="D637" s="101"/>
      <c r="E637" s="243"/>
      <c r="F637" s="102"/>
      <c r="G637" s="244"/>
      <c r="H637" s="244"/>
      <c r="I637" s="244"/>
      <c r="J637" s="246"/>
      <c r="K637" s="245"/>
      <c r="L637" s="245"/>
      <c r="M637" s="245"/>
      <c r="N637" s="247"/>
      <c r="O637" s="247"/>
      <c r="P637" s="247"/>
      <c r="Q637" s="247"/>
    </row>
    <row r="638" spans="4:17" ht="14.5" x14ac:dyDescent="0.35">
      <c r="D638" s="101"/>
      <c r="E638" s="243"/>
      <c r="F638" s="102"/>
      <c r="G638" s="244"/>
      <c r="H638" s="244"/>
      <c r="I638" s="244"/>
      <c r="J638" s="246"/>
      <c r="K638" s="245"/>
      <c r="L638" s="245"/>
      <c r="M638" s="245"/>
      <c r="N638" s="247"/>
      <c r="O638" s="247"/>
      <c r="P638" s="247"/>
      <c r="Q638" s="247"/>
    </row>
    <row r="639" spans="4:17" ht="14.5" x14ac:dyDescent="0.35">
      <c r="D639" s="101"/>
      <c r="E639" s="243"/>
      <c r="F639" s="102"/>
      <c r="G639" s="244"/>
      <c r="H639" s="244"/>
      <c r="I639" s="244"/>
      <c r="J639" s="246"/>
      <c r="K639" s="245"/>
      <c r="L639" s="245"/>
      <c r="M639" s="245"/>
      <c r="N639" s="247"/>
      <c r="O639" s="247"/>
      <c r="P639" s="247"/>
      <c r="Q639" s="247"/>
    </row>
    <row r="640" spans="4:17" ht="14.5" x14ac:dyDescent="0.35">
      <c r="D640" s="101"/>
      <c r="E640" s="243"/>
      <c r="F640" s="102"/>
      <c r="G640" s="244"/>
      <c r="H640" s="244"/>
      <c r="I640" s="244"/>
      <c r="J640" s="246"/>
      <c r="K640" s="245"/>
      <c r="L640" s="245"/>
      <c r="M640" s="245"/>
      <c r="N640" s="247"/>
      <c r="O640" s="247"/>
      <c r="P640" s="247"/>
      <c r="Q640" s="247"/>
    </row>
    <row r="641" spans="4:17" ht="14.5" x14ac:dyDescent="0.35">
      <c r="D641" s="101"/>
      <c r="E641" s="243"/>
      <c r="F641" s="102"/>
      <c r="G641" s="244"/>
      <c r="H641" s="244"/>
      <c r="I641" s="244"/>
      <c r="J641" s="246"/>
      <c r="K641" s="245"/>
      <c r="L641" s="245"/>
      <c r="M641" s="245"/>
      <c r="N641" s="247"/>
      <c r="O641" s="247"/>
      <c r="P641" s="247"/>
      <c r="Q641" s="247"/>
    </row>
    <row r="642" spans="4:17" ht="14.5" x14ac:dyDescent="0.35">
      <c r="D642" s="101"/>
      <c r="E642" s="243"/>
      <c r="F642" s="102"/>
      <c r="G642" s="244"/>
      <c r="H642" s="244"/>
      <c r="I642" s="244"/>
      <c r="J642" s="246"/>
      <c r="K642" s="245"/>
      <c r="L642" s="245"/>
      <c r="M642" s="245"/>
      <c r="N642" s="247"/>
      <c r="O642" s="247"/>
      <c r="P642" s="247"/>
      <c r="Q642" s="247"/>
    </row>
    <row r="643" spans="4:17" ht="14.5" x14ac:dyDescent="0.35">
      <c r="D643" s="101"/>
      <c r="E643" s="243"/>
      <c r="F643" s="102"/>
      <c r="G643" s="244"/>
      <c r="H643" s="244"/>
      <c r="I643" s="244"/>
      <c r="J643" s="246"/>
      <c r="K643" s="245"/>
      <c r="L643" s="245"/>
      <c r="M643" s="245"/>
      <c r="N643" s="247"/>
      <c r="O643" s="247"/>
      <c r="P643" s="247"/>
      <c r="Q643" s="247"/>
    </row>
    <row r="644" spans="4:17" ht="14.5" x14ac:dyDescent="0.35">
      <c r="D644" s="101"/>
      <c r="E644" s="248"/>
      <c r="F644" s="102"/>
      <c r="G644" s="249"/>
      <c r="H644" s="249"/>
      <c r="I644" s="249"/>
      <c r="J644" s="251"/>
      <c r="K644" s="250"/>
      <c r="L644" s="250"/>
      <c r="M644" s="250"/>
      <c r="N644" s="252"/>
      <c r="O644" s="252"/>
      <c r="P644" s="252"/>
      <c r="Q644" s="252"/>
    </row>
    <row r="645" spans="4:17" ht="14.5" x14ac:dyDescent="0.35">
      <c r="D645" s="101"/>
      <c r="E645" s="248"/>
      <c r="F645" s="102"/>
      <c r="G645" s="249"/>
      <c r="H645" s="249"/>
      <c r="I645" s="249"/>
      <c r="J645" s="251"/>
      <c r="K645" s="250"/>
      <c r="L645" s="250"/>
      <c r="M645" s="250"/>
      <c r="N645" s="252"/>
      <c r="O645" s="252"/>
      <c r="P645" s="252"/>
      <c r="Q645" s="252"/>
    </row>
    <row r="646" spans="4:17" ht="14.5" x14ac:dyDescent="0.35">
      <c r="D646" s="101"/>
      <c r="E646" s="248"/>
      <c r="F646" s="102"/>
      <c r="G646" s="249"/>
      <c r="H646" s="249"/>
      <c r="I646" s="249"/>
      <c r="J646" s="251"/>
      <c r="K646" s="250"/>
      <c r="L646" s="250"/>
      <c r="M646" s="250"/>
      <c r="N646" s="252"/>
      <c r="O646" s="252"/>
      <c r="P646" s="252"/>
      <c r="Q646" s="252"/>
    </row>
    <row r="647" spans="4:17" ht="14.5" x14ac:dyDescent="0.35">
      <c r="D647" s="101"/>
      <c r="E647" s="248"/>
      <c r="F647" s="102"/>
      <c r="G647" s="249"/>
      <c r="H647" s="249"/>
      <c r="I647" s="249"/>
      <c r="J647" s="251"/>
      <c r="K647" s="250"/>
      <c r="L647" s="250"/>
      <c r="M647" s="250"/>
      <c r="N647" s="252"/>
      <c r="O647" s="252"/>
      <c r="P647" s="252"/>
      <c r="Q647" s="252"/>
    </row>
    <row r="648" spans="4:17" ht="14.5" x14ac:dyDescent="0.35">
      <c r="D648" s="101"/>
      <c r="E648" s="248"/>
      <c r="F648" s="102"/>
      <c r="G648" s="249"/>
      <c r="H648" s="249"/>
      <c r="I648" s="249"/>
      <c r="J648" s="251"/>
      <c r="K648" s="250"/>
      <c r="L648" s="250"/>
      <c r="M648" s="250"/>
      <c r="N648" s="252"/>
      <c r="O648" s="252"/>
      <c r="P648" s="252"/>
      <c r="Q648" s="252"/>
    </row>
    <row r="649" spans="4:17" ht="14.5" x14ac:dyDescent="0.35">
      <c r="D649" s="101"/>
      <c r="E649" s="248"/>
      <c r="F649" s="102"/>
      <c r="G649" s="249"/>
      <c r="H649" s="249"/>
      <c r="I649" s="249"/>
      <c r="J649" s="251"/>
      <c r="K649" s="250"/>
      <c r="L649" s="250"/>
      <c r="M649" s="250"/>
      <c r="N649" s="252"/>
      <c r="O649" s="252"/>
      <c r="P649" s="252"/>
      <c r="Q649" s="252"/>
    </row>
    <row r="650" spans="4:17" ht="14.5" x14ac:dyDescent="0.35">
      <c r="D650" s="101"/>
      <c r="E650" s="248"/>
      <c r="F650" s="102"/>
      <c r="G650" s="249"/>
      <c r="H650" s="249"/>
      <c r="I650" s="249"/>
      <c r="J650" s="251"/>
      <c r="K650" s="250"/>
      <c r="L650" s="250"/>
      <c r="M650" s="250"/>
      <c r="N650" s="252"/>
      <c r="O650" s="252"/>
      <c r="P650" s="252"/>
      <c r="Q650" s="252"/>
    </row>
    <row r="651" spans="4:17" ht="14.5" x14ac:dyDescent="0.35">
      <c r="D651" s="101"/>
      <c r="E651" s="253"/>
      <c r="F651" s="102"/>
      <c r="G651" s="254"/>
      <c r="H651" s="254"/>
      <c r="I651" s="254"/>
      <c r="J651" s="251"/>
      <c r="K651" s="250"/>
      <c r="L651" s="250"/>
      <c r="M651" s="250"/>
      <c r="N651" s="252"/>
      <c r="O651" s="252"/>
      <c r="P651" s="252"/>
      <c r="Q651" s="252"/>
    </row>
    <row r="652" spans="4:17" ht="14.5" x14ac:dyDescent="0.35">
      <c r="D652" s="101"/>
      <c r="E652" s="248"/>
      <c r="F652" s="102"/>
      <c r="G652" s="249"/>
      <c r="H652" s="249"/>
      <c r="I652" s="249"/>
      <c r="J652" s="251"/>
      <c r="K652" s="250"/>
      <c r="L652" s="250"/>
      <c r="M652" s="250"/>
      <c r="N652" s="252"/>
      <c r="O652" s="252"/>
      <c r="P652" s="252"/>
      <c r="Q652" s="252"/>
    </row>
    <row r="653" spans="4:17" ht="14.5" x14ac:dyDescent="0.35">
      <c r="D653" s="101"/>
      <c r="E653" s="248"/>
      <c r="F653" s="102"/>
      <c r="G653" s="249"/>
      <c r="H653" s="249"/>
      <c r="I653" s="249"/>
      <c r="J653" s="251"/>
      <c r="K653" s="250"/>
      <c r="L653" s="250"/>
      <c r="M653" s="250"/>
      <c r="N653" s="252"/>
      <c r="O653" s="252"/>
      <c r="P653" s="252"/>
      <c r="Q653" s="252"/>
    </row>
    <row r="654" spans="4:17" ht="14.5" x14ac:dyDescent="0.35">
      <c r="D654" s="101"/>
      <c r="E654" s="248"/>
      <c r="F654" s="102"/>
      <c r="G654" s="249"/>
      <c r="H654" s="249"/>
      <c r="I654" s="249"/>
      <c r="J654" s="251"/>
      <c r="K654" s="250"/>
      <c r="L654" s="250"/>
      <c r="M654" s="250"/>
      <c r="N654" s="252"/>
      <c r="O654" s="252"/>
      <c r="P654" s="252"/>
      <c r="Q654" s="252"/>
    </row>
    <row r="655" spans="4:17" ht="14.5" x14ac:dyDescent="0.35">
      <c r="D655" s="101"/>
      <c r="E655" s="248"/>
      <c r="F655" s="102"/>
      <c r="G655" s="249"/>
      <c r="H655" s="249"/>
      <c r="I655" s="249"/>
      <c r="J655" s="251"/>
      <c r="K655" s="250"/>
      <c r="L655" s="250"/>
      <c r="M655" s="250"/>
      <c r="N655" s="252"/>
      <c r="O655" s="252"/>
      <c r="P655" s="252"/>
      <c r="Q655" s="252"/>
    </row>
    <row r="656" spans="4:17" ht="14.5" x14ac:dyDescent="0.35">
      <c r="D656" s="101"/>
      <c r="E656" s="248"/>
      <c r="F656" s="102"/>
      <c r="G656" s="249"/>
      <c r="H656" s="249"/>
      <c r="I656" s="249"/>
      <c r="J656" s="251"/>
      <c r="K656" s="250"/>
      <c r="L656" s="250"/>
      <c r="M656" s="250"/>
      <c r="N656" s="252"/>
      <c r="O656" s="252"/>
      <c r="P656" s="252"/>
      <c r="Q656" s="252"/>
    </row>
    <row r="657" spans="4:17" ht="14.5" x14ac:dyDescent="0.35">
      <c r="D657" s="101"/>
      <c r="E657" s="248"/>
      <c r="F657" s="102"/>
      <c r="G657" s="249"/>
      <c r="H657" s="249"/>
      <c r="I657" s="249"/>
      <c r="J657" s="251"/>
      <c r="K657" s="250"/>
      <c r="L657" s="250"/>
      <c r="M657" s="250"/>
      <c r="N657" s="252"/>
      <c r="O657" s="252"/>
      <c r="P657" s="252"/>
      <c r="Q657" s="252"/>
    </row>
    <row r="658" spans="4:17" ht="14.5" x14ac:dyDescent="0.35">
      <c r="D658" s="101"/>
      <c r="E658" s="248"/>
      <c r="F658" s="102"/>
      <c r="G658" s="249"/>
      <c r="H658" s="249"/>
      <c r="I658" s="249"/>
      <c r="J658" s="251"/>
      <c r="K658" s="250"/>
      <c r="L658" s="250"/>
      <c r="M658" s="250"/>
      <c r="N658" s="252"/>
      <c r="O658" s="252"/>
      <c r="P658" s="252"/>
      <c r="Q658" s="252"/>
    </row>
    <row r="659" spans="4:17" ht="14.5" x14ac:dyDescent="0.35">
      <c r="D659" s="101"/>
      <c r="E659" s="253"/>
      <c r="F659" s="102"/>
      <c r="G659" s="254"/>
      <c r="H659" s="254"/>
      <c r="I659" s="254"/>
      <c r="J659" s="251"/>
      <c r="K659" s="250"/>
      <c r="L659" s="250"/>
      <c r="M659" s="250"/>
      <c r="N659" s="252"/>
      <c r="O659" s="252"/>
      <c r="P659" s="252"/>
      <c r="Q659" s="252"/>
    </row>
    <row r="660" spans="4:17" ht="14.5" x14ac:dyDescent="0.35">
      <c r="D660" s="101"/>
      <c r="E660" s="253"/>
      <c r="F660" s="102"/>
      <c r="G660" s="249"/>
      <c r="H660" s="249"/>
      <c r="I660" s="249"/>
      <c r="J660" s="251"/>
      <c r="K660" s="250"/>
      <c r="L660" s="250"/>
      <c r="M660" s="250"/>
      <c r="N660" s="252"/>
      <c r="O660" s="252"/>
      <c r="P660" s="252"/>
      <c r="Q660" s="252"/>
    </row>
    <row r="661" spans="4:17" ht="14.5" x14ac:dyDescent="0.35">
      <c r="D661" s="101"/>
      <c r="E661" s="253"/>
      <c r="F661" s="102"/>
      <c r="G661" s="249"/>
      <c r="H661" s="249"/>
      <c r="I661" s="249"/>
      <c r="J661" s="251"/>
      <c r="K661" s="250"/>
      <c r="L661" s="250"/>
      <c r="M661" s="250"/>
      <c r="N661" s="252"/>
      <c r="O661" s="252"/>
      <c r="P661" s="252"/>
      <c r="Q661" s="252"/>
    </row>
    <row r="662" spans="4:17" ht="14.5" x14ac:dyDescent="0.35">
      <c r="D662" s="101"/>
      <c r="E662" s="253"/>
      <c r="F662" s="102"/>
      <c r="G662" s="249"/>
      <c r="H662" s="249"/>
      <c r="I662" s="249"/>
      <c r="J662" s="251"/>
      <c r="K662" s="250"/>
      <c r="L662" s="250"/>
      <c r="M662" s="250"/>
      <c r="N662" s="252"/>
      <c r="O662" s="252"/>
      <c r="P662" s="252"/>
      <c r="Q662" s="252"/>
    </row>
    <row r="663" spans="4:17" ht="14.5" x14ac:dyDescent="0.35">
      <c r="D663" s="101"/>
      <c r="E663" s="248"/>
      <c r="F663" s="102"/>
      <c r="G663" s="249"/>
      <c r="H663" s="249"/>
      <c r="I663" s="249"/>
      <c r="J663" s="251"/>
      <c r="K663" s="250"/>
      <c r="L663" s="250"/>
      <c r="M663" s="250"/>
      <c r="N663" s="252"/>
      <c r="O663" s="252"/>
      <c r="P663" s="252"/>
      <c r="Q663" s="252"/>
    </row>
    <row r="664" spans="4:17" ht="14.5" x14ac:dyDescent="0.35">
      <c r="D664" s="101"/>
      <c r="E664" s="248"/>
      <c r="F664" s="102"/>
      <c r="G664" s="249"/>
      <c r="H664" s="249"/>
      <c r="I664" s="249"/>
      <c r="J664" s="256"/>
      <c r="K664" s="255"/>
      <c r="L664" s="255"/>
      <c r="M664" s="255"/>
      <c r="N664" s="252"/>
      <c r="O664" s="252"/>
      <c r="P664" s="252"/>
      <c r="Q664" s="252"/>
    </row>
    <row r="665" spans="4:17" ht="14.5" x14ac:dyDescent="0.35">
      <c r="D665" s="101"/>
      <c r="E665" s="253"/>
      <c r="F665" s="102"/>
      <c r="G665" s="254"/>
      <c r="H665" s="254"/>
      <c r="I665" s="254"/>
      <c r="J665" s="251"/>
      <c r="K665" s="250"/>
      <c r="L665" s="250"/>
      <c r="M665" s="250"/>
      <c r="N665" s="252"/>
      <c r="O665" s="252"/>
      <c r="P665" s="252"/>
      <c r="Q665" s="252"/>
    </row>
    <row r="666" spans="4:17" ht="14.5" x14ac:dyDescent="0.35">
      <c r="D666" s="101"/>
      <c r="E666" s="253"/>
      <c r="F666" s="102"/>
      <c r="G666" s="249"/>
      <c r="H666" s="249"/>
      <c r="I666" s="249"/>
      <c r="J666" s="251"/>
      <c r="K666" s="250"/>
      <c r="L666" s="250"/>
      <c r="M666" s="250"/>
      <c r="N666" s="252"/>
      <c r="O666" s="252"/>
      <c r="P666" s="252"/>
      <c r="Q666" s="252"/>
    </row>
    <row r="667" spans="4:17" ht="14.5" x14ac:dyDescent="0.35">
      <c r="D667" s="101"/>
      <c r="E667" s="253"/>
      <c r="F667" s="102"/>
      <c r="G667" s="249"/>
      <c r="H667" s="249"/>
      <c r="I667" s="249"/>
      <c r="J667" s="251"/>
      <c r="K667" s="250"/>
      <c r="L667" s="250"/>
      <c r="M667" s="250"/>
      <c r="N667" s="252"/>
      <c r="O667" s="252"/>
      <c r="P667" s="252"/>
      <c r="Q667" s="252"/>
    </row>
    <row r="668" spans="4:17" ht="14.5" x14ac:dyDescent="0.35">
      <c r="D668" s="101"/>
      <c r="E668" s="253"/>
      <c r="F668" s="102"/>
      <c r="G668" s="254"/>
      <c r="H668" s="254"/>
      <c r="I668" s="254"/>
      <c r="J668" s="251"/>
      <c r="K668" s="250"/>
      <c r="L668" s="250"/>
      <c r="M668" s="250"/>
      <c r="N668" s="252"/>
      <c r="O668" s="252"/>
      <c r="P668" s="252"/>
      <c r="Q668" s="252"/>
    </row>
    <row r="669" spans="4:17" ht="14.5" x14ac:dyDescent="0.35">
      <c r="D669" s="101"/>
      <c r="E669" s="253"/>
      <c r="F669" s="102"/>
      <c r="G669" s="249"/>
      <c r="H669" s="249"/>
      <c r="I669" s="249"/>
      <c r="J669" s="251"/>
      <c r="K669" s="250"/>
      <c r="L669" s="250"/>
      <c r="M669" s="250"/>
      <c r="N669" s="252"/>
      <c r="O669" s="252"/>
      <c r="P669" s="252"/>
      <c r="Q669" s="252"/>
    </row>
    <row r="670" spans="4:17" ht="14.5" x14ac:dyDescent="0.35">
      <c r="D670" s="101"/>
      <c r="E670" s="253"/>
      <c r="F670" s="102"/>
      <c r="G670" s="249"/>
      <c r="H670" s="249"/>
      <c r="I670" s="249"/>
      <c r="J670" s="257"/>
      <c r="K670" s="252"/>
      <c r="L670" s="252"/>
      <c r="M670" s="252"/>
      <c r="N670" s="252"/>
      <c r="O670" s="252"/>
      <c r="P670" s="252"/>
      <c r="Q670" s="252"/>
    </row>
    <row r="671" spans="4:17" ht="14.5" x14ac:dyDescent="0.35">
      <c r="D671" s="101"/>
      <c r="E671" s="253"/>
      <c r="F671" s="102"/>
      <c r="G671" s="249"/>
      <c r="H671" s="249"/>
      <c r="I671" s="249"/>
      <c r="J671" s="257"/>
      <c r="K671" s="252"/>
      <c r="L671" s="252"/>
      <c r="M671" s="252"/>
      <c r="N671" s="252"/>
      <c r="O671" s="252"/>
      <c r="P671" s="252"/>
      <c r="Q671" s="252"/>
    </row>
    <row r="672" spans="4:17" ht="14.5" x14ac:dyDescent="0.35">
      <c r="D672" s="101"/>
      <c r="E672" s="253"/>
      <c r="F672" s="102"/>
      <c r="G672" s="254"/>
      <c r="H672" s="254"/>
      <c r="I672" s="254"/>
      <c r="J672" s="257"/>
      <c r="K672" s="252"/>
      <c r="L672" s="252"/>
      <c r="M672" s="252"/>
      <c r="N672" s="252"/>
      <c r="O672" s="252"/>
      <c r="P672" s="252"/>
      <c r="Q672" s="252"/>
    </row>
    <row r="673" spans="4:17" ht="14.5" x14ac:dyDescent="0.35">
      <c r="D673" s="101"/>
      <c r="E673" s="253"/>
      <c r="F673" s="102"/>
      <c r="G673" s="249"/>
      <c r="H673" s="249"/>
      <c r="I673" s="249"/>
      <c r="J673" s="251"/>
      <c r="K673" s="250"/>
      <c r="L673" s="250"/>
      <c r="M673" s="250"/>
      <c r="N673" s="252"/>
      <c r="O673" s="252"/>
      <c r="P673" s="252"/>
      <c r="Q673" s="252"/>
    </row>
    <row r="674" spans="4:17" ht="14.5" x14ac:dyDescent="0.35">
      <c r="D674" s="101"/>
      <c r="E674" s="258"/>
      <c r="F674" s="102"/>
      <c r="G674" s="249"/>
      <c r="H674" s="249"/>
      <c r="I674" s="249"/>
      <c r="J674" s="256"/>
      <c r="K674" s="259"/>
      <c r="L674" s="259"/>
      <c r="M674" s="259"/>
      <c r="N674" s="252"/>
      <c r="O674" s="252"/>
      <c r="P674" s="252"/>
      <c r="Q674" s="252"/>
    </row>
    <row r="675" spans="4:17" ht="14.5" x14ac:dyDescent="0.35">
      <c r="D675" s="101"/>
      <c r="E675" s="258"/>
      <c r="F675" s="102"/>
      <c r="G675" s="249"/>
      <c r="H675" s="249"/>
      <c r="I675" s="249"/>
      <c r="J675" s="256"/>
      <c r="K675" s="259"/>
      <c r="L675" s="255"/>
      <c r="M675" s="255"/>
      <c r="N675" s="252"/>
      <c r="O675" s="252"/>
      <c r="P675" s="252"/>
      <c r="Q675" s="252"/>
    </row>
    <row r="676" spans="4:17" ht="14.5" x14ac:dyDescent="0.35">
      <c r="D676" s="101"/>
      <c r="E676" s="258"/>
      <c r="F676" s="102"/>
      <c r="G676" s="249"/>
      <c r="H676" s="249"/>
      <c r="I676" s="249"/>
      <c r="J676" s="256"/>
      <c r="K676" s="259"/>
      <c r="L676" s="255"/>
      <c r="M676" s="255"/>
      <c r="N676" s="252"/>
      <c r="O676" s="252"/>
      <c r="P676" s="252"/>
      <c r="Q676" s="252"/>
    </row>
    <row r="677" spans="4:17" ht="14.5" x14ac:dyDescent="0.35">
      <c r="D677" s="101"/>
      <c r="E677" s="248"/>
      <c r="F677" s="102"/>
      <c r="G677" s="249"/>
      <c r="H677" s="249"/>
      <c r="I677" s="249"/>
      <c r="J677" s="257"/>
      <c r="K677" s="252"/>
      <c r="L677" s="252"/>
      <c r="M677" s="252"/>
      <c r="N677" s="252"/>
      <c r="O677" s="252"/>
      <c r="P677" s="252"/>
      <c r="Q677" s="252"/>
    </row>
    <row r="678" spans="4:17" ht="14.5" x14ac:dyDescent="0.35">
      <c r="D678" s="101"/>
      <c r="E678" s="248"/>
      <c r="F678" s="102"/>
      <c r="G678" s="249"/>
      <c r="H678" s="249"/>
      <c r="I678" s="249"/>
      <c r="J678" s="251"/>
      <c r="K678" s="250"/>
      <c r="L678" s="250"/>
      <c r="M678" s="250"/>
      <c r="N678" s="252"/>
      <c r="O678" s="252"/>
      <c r="P678" s="252"/>
      <c r="Q678" s="252"/>
    </row>
    <row r="679" spans="4:17" ht="14.5" x14ac:dyDescent="0.35">
      <c r="D679" s="101"/>
      <c r="E679" s="248"/>
      <c r="F679" s="102"/>
      <c r="G679" s="249"/>
      <c r="H679" s="249"/>
      <c r="I679" s="249"/>
      <c r="J679" s="251"/>
      <c r="K679" s="250"/>
      <c r="L679" s="250"/>
      <c r="M679" s="250"/>
      <c r="N679" s="252"/>
      <c r="O679" s="252"/>
      <c r="P679" s="252"/>
      <c r="Q679" s="252"/>
    </row>
    <row r="680" spans="4:17" ht="14.5" x14ac:dyDescent="0.35">
      <c r="D680" s="101"/>
      <c r="E680" s="248"/>
      <c r="F680" s="102"/>
      <c r="G680" s="249"/>
      <c r="H680" s="249"/>
      <c r="I680" s="249"/>
      <c r="J680" s="251"/>
      <c r="K680" s="250"/>
      <c r="L680" s="250"/>
      <c r="M680" s="250"/>
      <c r="N680" s="252"/>
      <c r="O680" s="252"/>
      <c r="P680" s="252"/>
      <c r="Q680" s="252"/>
    </row>
    <row r="681" spans="4:17" ht="14.5" x14ac:dyDescent="0.35">
      <c r="D681" s="101"/>
      <c r="E681" s="258"/>
      <c r="F681" s="102"/>
      <c r="G681" s="249"/>
      <c r="H681" s="249"/>
      <c r="I681" s="249"/>
      <c r="J681" s="256"/>
      <c r="K681" s="259"/>
      <c r="L681" s="255"/>
      <c r="M681" s="255"/>
      <c r="N681" s="252"/>
      <c r="O681" s="252"/>
      <c r="P681" s="252"/>
      <c r="Q681" s="252"/>
    </row>
    <row r="682" spans="4:17" ht="14.5" x14ac:dyDescent="0.35">
      <c r="D682" s="101"/>
      <c r="E682" s="258"/>
      <c r="F682" s="102"/>
      <c r="G682" s="249"/>
      <c r="H682" s="249"/>
      <c r="I682" s="249"/>
      <c r="J682" s="256"/>
      <c r="K682" s="259"/>
      <c r="L682" s="255"/>
      <c r="M682" s="259"/>
      <c r="N682" s="252"/>
      <c r="O682" s="252"/>
      <c r="P682" s="252"/>
      <c r="Q682" s="252"/>
    </row>
    <row r="683" spans="4:17" ht="14.5" x14ac:dyDescent="0.35">
      <c r="D683" s="101"/>
      <c r="E683" s="258"/>
      <c r="F683" s="102"/>
      <c r="G683" s="249"/>
      <c r="H683" s="249"/>
      <c r="I683" s="249"/>
      <c r="J683" s="256"/>
      <c r="K683" s="259"/>
      <c r="L683" s="255"/>
      <c r="M683" s="259"/>
      <c r="N683" s="252"/>
      <c r="O683" s="252"/>
      <c r="P683" s="252"/>
      <c r="Q683" s="252"/>
    </row>
    <row r="684" spans="4:17" ht="14.5" x14ac:dyDescent="0.35">
      <c r="D684" s="101"/>
      <c r="E684" s="258"/>
      <c r="F684" s="102"/>
      <c r="G684" s="249"/>
      <c r="H684" s="249"/>
      <c r="I684" s="249"/>
      <c r="J684" s="256"/>
      <c r="K684" s="259"/>
      <c r="L684" s="259"/>
      <c r="M684" s="259"/>
      <c r="N684" s="252"/>
      <c r="O684" s="252"/>
      <c r="P684" s="252"/>
      <c r="Q684" s="252"/>
    </row>
    <row r="685" spans="4:17" ht="14.5" x14ac:dyDescent="0.35">
      <c r="D685" s="101"/>
      <c r="E685" s="258"/>
      <c r="F685" s="102"/>
      <c r="G685" s="249"/>
      <c r="H685" s="249"/>
      <c r="I685" s="249"/>
      <c r="J685" s="256"/>
      <c r="K685" s="259"/>
      <c r="L685" s="255"/>
      <c r="M685" s="259"/>
      <c r="N685" s="252"/>
      <c r="O685" s="252"/>
      <c r="P685" s="252"/>
      <c r="Q685" s="252"/>
    </row>
    <row r="686" spans="4:17" ht="14.5" x14ac:dyDescent="0.35">
      <c r="D686" s="101"/>
      <c r="E686" s="258"/>
      <c r="F686" s="102"/>
      <c r="G686" s="249"/>
      <c r="H686" s="249"/>
      <c r="I686" s="249"/>
      <c r="J686" s="256"/>
      <c r="K686" s="259"/>
      <c r="L686" s="255"/>
      <c r="M686" s="259"/>
      <c r="N686" s="252"/>
      <c r="O686" s="252"/>
      <c r="P686" s="252"/>
      <c r="Q686" s="252"/>
    </row>
    <row r="687" spans="4:17" ht="14.5" x14ac:dyDescent="0.35">
      <c r="D687" s="101"/>
      <c r="E687" s="258"/>
      <c r="F687" s="102"/>
      <c r="G687" s="249"/>
      <c r="H687" s="249"/>
      <c r="I687" s="249"/>
      <c r="J687" s="256"/>
      <c r="K687" s="259"/>
      <c r="L687" s="259"/>
      <c r="M687" s="259"/>
      <c r="N687" s="252"/>
      <c r="O687" s="252"/>
      <c r="P687" s="252"/>
      <c r="Q687" s="252"/>
    </row>
    <row r="688" spans="4:17" ht="14.5" x14ac:dyDescent="0.35">
      <c r="D688" s="101"/>
      <c r="E688" s="258"/>
      <c r="F688" s="102"/>
      <c r="G688" s="249"/>
      <c r="H688" s="249"/>
      <c r="I688" s="249"/>
      <c r="J688" s="256"/>
      <c r="K688" s="259"/>
      <c r="L688" s="255"/>
      <c r="M688" s="259"/>
      <c r="N688" s="252"/>
      <c r="O688" s="252"/>
      <c r="P688" s="252"/>
      <c r="Q688" s="252"/>
    </row>
    <row r="689" spans="4:17" x14ac:dyDescent="0.25">
      <c r="D689" s="102"/>
      <c r="E689" s="260"/>
      <c r="F689" s="102"/>
      <c r="G689" s="102"/>
      <c r="H689" s="102"/>
      <c r="I689" s="102"/>
      <c r="J689" s="102"/>
      <c r="K689" s="102"/>
      <c r="L689" s="102"/>
      <c r="M689" s="102"/>
      <c r="N689" s="261"/>
      <c r="O689" s="102"/>
      <c r="P689" s="102"/>
      <c r="Q689" s="102"/>
    </row>
    <row r="690" spans="4:17" x14ac:dyDescent="0.25">
      <c r="D690" s="102"/>
      <c r="E690" s="260"/>
      <c r="F690" s="102"/>
      <c r="G690" s="102"/>
      <c r="H690" s="102"/>
      <c r="I690" s="102"/>
      <c r="J690" s="102"/>
      <c r="K690" s="102"/>
      <c r="L690" s="102"/>
      <c r="M690" s="102"/>
      <c r="N690" s="261"/>
      <c r="O690" s="102"/>
      <c r="P690" s="102"/>
      <c r="Q690" s="102"/>
    </row>
    <row r="691" spans="4:17" x14ac:dyDescent="0.25">
      <c r="D691" s="102"/>
      <c r="E691" s="260"/>
      <c r="F691" s="102"/>
      <c r="G691" s="102"/>
      <c r="H691" s="102"/>
      <c r="I691" s="102"/>
      <c r="J691" s="102"/>
      <c r="K691" s="102"/>
      <c r="L691" s="102"/>
      <c r="M691" s="102"/>
      <c r="N691" s="261"/>
      <c r="O691" s="102"/>
      <c r="P691" s="102"/>
      <c r="Q691" s="102"/>
    </row>
    <row r="692" spans="4:17" x14ac:dyDescent="0.25">
      <c r="D692" s="102"/>
      <c r="E692" s="260"/>
      <c r="F692" s="102"/>
      <c r="G692" s="102"/>
      <c r="H692" s="102"/>
      <c r="I692" s="102"/>
      <c r="J692" s="102"/>
      <c r="K692" s="102"/>
      <c r="L692" s="102"/>
      <c r="M692" s="102"/>
      <c r="N692" s="261"/>
      <c r="O692" s="102"/>
      <c r="P692" s="102"/>
      <c r="Q692" s="102"/>
    </row>
    <row r="693" spans="4:17" x14ac:dyDescent="0.25">
      <c r="D693" s="102"/>
      <c r="E693" s="260"/>
      <c r="F693" s="102"/>
      <c r="G693" s="102"/>
      <c r="H693" s="102"/>
      <c r="I693" s="102"/>
      <c r="J693" s="102"/>
      <c r="K693" s="102"/>
      <c r="L693" s="102"/>
      <c r="M693" s="102"/>
      <c r="N693" s="261"/>
      <c r="O693" s="102"/>
      <c r="P693" s="102"/>
      <c r="Q693" s="102"/>
    </row>
    <row r="694" spans="4:17" x14ac:dyDescent="0.25">
      <c r="D694" s="102"/>
      <c r="E694" s="260"/>
      <c r="F694" s="102"/>
      <c r="G694" s="102"/>
      <c r="H694" s="102"/>
      <c r="I694" s="102"/>
      <c r="J694" s="102"/>
      <c r="K694" s="102"/>
      <c r="L694" s="102"/>
      <c r="M694" s="102"/>
      <c r="N694" s="261"/>
      <c r="O694" s="102"/>
      <c r="P694" s="102"/>
      <c r="Q694" s="102"/>
    </row>
    <row r="695" spans="4:17" x14ac:dyDescent="0.25">
      <c r="D695" s="102"/>
      <c r="E695" s="260"/>
      <c r="F695" s="102"/>
      <c r="G695" s="102"/>
      <c r="H695" s="102"/>
      <c r="I695" s="102"/>
      <c r="J695" s="102"/>
      <c r="K695" s="102"/>
      <c r="L695" s="102"/>
      <c r="M695" s="102"/>
      <c r="N695" s="261"/>
      <c r="O695" s="102"/>
      <c r="P695" s="102"/>
      <c r="Q695" s="102"/>
    </row>
    <row r="696" spans="4:17" x14ac:dyDescent="0.25">
      <c r="D696" s="102"/>
      <c r="E696" s="260"/>
      <c r="F696" s="102"/>
      <c r="G696" s="102"/>
      <c r="H696" s="102"/>
      <c r="I696" s="102"/>
      <c r="J696" s="102"/>
      <c r="K696" s="102"/>
      <c r="L696" s="102"/>
      <c r="M696" s="102"/>
      <c r="N696" s="261"/>
      <c r="O696" s="102"/>
      <c r="P696" s="102"/>
      <c r="Q696" s="102"/>
    </row>
    <row r="697" spans="4:17" x14ac:dyDescent="0.25">
      <c r="D697" s="102"/>
      <c r="E697" s="260"/>
      <c r="F697" s="102"/>
      <c r="G697" s="102"/>
      <c r="H697" s="102"/>
      <c r="I697" s="102"/>
      <c r="J697" s="102"/>
      <c r="K697" s="102"/>
      <c r="L697" s="102"/>
      <c r="M697" s="102"/>
      <c r="N697" s="261"/>
      <c r="O697" s="102"/>
      <c r="P697" s="102"/>
      <c r="Q697" s="102"/>
    </row>
    <row r="698" spans="4:17" x14ac:dyDescent="0.25">
      <c r="D698" s="102"/>
      <c r="E698" s="260"/>
      <c r="F698" s="102"/>
      <c r="G698" s="102"/>
      <c r="H698" s="102"/>
      <c r="I698" s="102"/>
      <c r="J698" s="102"/>
      <c r="K698" s="102"/>
      <c r="L698" s="102"/>
      <c r="M698" s="102"/>
      <c r="N698" s="261"/>
      <c r="O698" s="102"/>
      <c r="P698" s="102"/>
      <c r="Q698" s="102"/>
    </row>
    <row r="699" spans="4:17" x14ac:dyDescent="0.25">
      <c r="D699" s="102"/>
      <c r="E699" s="260"/>
      <c r="F699" s="102"/>
      <c r="G699" s="102"/>
      <c r="H699" s="102"/>
      <c r="I699" s="102"/>
      <c r="J699" s="102"/>
      <c r="K699" s="102"/>
      <c r="L699" s="102"/>
      <c r="M699" s="102"/>
      <c r="N699" s="261"/>
      <c r="O699" s="102"/>
      <c r="P699" s="102"/>
      <c r="Q699" s="102"/>
    </row>
    <row r="700" spans="4:17" x14ac:dyDescent="0.25">
      <c r="D700" s="102"/>
      <c r="E700" s="260"/>
      <c r="F700" s="102"/>
      <c r="G700" s="102"/>
      <c r="H700" s="102"/>
      <c r="I700" s="102"/>
      <c r="J700" s="102"/>
      <c r="K700" s="102"/>
      <c r="L700" s="102"/>
      <c r="M700" s="102"/>
      <c r="N700" s="261"/>
      <c r="O700" s="102"/>
      <c r="P700" s="102"/>
      <c r="Q700" s="102"/>
    </row>
    <row r="701" spans="4:17" x14ac:dyDescent="0.25">
      <c r="D701" s="102"/>
      <c r="E701" s="260"/>
      <c r="F701" s="102"/>
      <c r="G701" s="102"/>
      <c r="H701" s="102"/>
      <c r="I701" s="102"/>
      <c r="J701" s="102"/>
      <c r="K701" s="102"/>
      <c r="L701" s="102"/>
      <c r="M701" s="102"/>
      <c r="N701" s="261"/>
      <c r="O701" s="102"/>
      <c r="P701" s="102"/>
      <c r="Q701" s="102"/>
    </row>
    <row r="702" spans="4:17" x14ac:dyDescent="0.25">
      <c r="D702" s="102"/>
      <c r="E702" s="260"/>
      <c r="F702" s="102"/>
      <c r="G702" s="102"/>
      <c r="H702" s="102"/>
      <c r="I702" s="102"/>
      <c r="J702" s="102"/>
      <c r="K702" s="102"/>
      <c r="L702" s="102"/>
      <c r="M702" s="102"/>
      <c r="N702" s="261"/>
      <c r="O702" s="102"/>
      <c r="P702" s="102"/>
      <c r="Q702" s="102"/>
    </row>
    <row r="703" spans="4:17" x14ac:dyDescent="0.25">
      <c r="D703" s="102"/>
      <c r="E703" s="260"/>
      <c r="F703" s="102"/>
      <c r="G703" s="102"/>
      <c r="H703" s="102"/>
      <c r="I703" s="102"/>
      <c r="J703" s="102"/>
      <c r="K703" s="102"/>
      <c r="L703" s="102"/>
      <c r="M703" s="102"/>
      <c r="N703" s="261"/>
      <c r="O703" s="102"/>
      <c r="P703" s="102"/>
      <c r="Q703" s="102"/>
    </row>
    <row r="704" spans="4:17" x14ac:dyDescent="0.25">
      <c r="D704" s="102"/>
      <c r="E704" s="260"/>
      <c r="F704" s="102"/>
      <c r="G704" s="102"/>
      <c r="H704" s="102"/>
      <c r="I704" s="102"/>
      <c r="J704" s="102"/>
      <c r="K704" s="102"/>
      <c r="L704" s="102"/>
      <c r="M704" s="102"/>
      <c r="N704" s="261"/>
      <c r="O704" s="102"/>
      <c r="P704" s="102"/>
      <c r="Q704" s="102"/>
    </row>
    <row r="705" spans="4:17" x14ac:dyDescent="0.25">
      <c r="D705" s="102"/>
      <c r="E705" s="260"/>
      <c r="F705" s="102"/>
      <c r="G705" s="102"/>
      <c r="H705" s="102"/>
      <c r="I705" s="102"/>
      <c r="J705" s="102"/>
      <c r="K705" s="102"/>
      <c r="L705" s="102"/>
      <c r="M705" s="102"/>
      <c r="N705" s="261"/>
      <c r="O705" s="102"/>
      <c r="P705" s="102"/>
      <c r="Q705" s="102"/>
    </row>
    <row r="706" spans="4:17" x14ac:dyDescent="0.25">
      <c r="D706" s="102"/>
      <c r="E706" s="260"/>
      <c r="F706" s="102"/>
      <c r="G706" s="102"/>
      <c r="H706" s="102"/>
      <c r="I706" s="102"/>
      <c r="J706" s="102"/>
      <c r="K706" s="102"/>
      <c r="L706" s="102"/>
      <c r="M706" s="102"/>
      <c r="N706" s="261"/>
      <c r="O706" s="102"/>
      <c r="P706" s="102"/>
      <c r="Q706" s="102"/>
    </row>
    <row r="707" spans="4:17" x14ac:dyDescent="0.25">
      <c r="D707" s="102"/>
      <c r="E707" s="260"/>
      <c r="F707" s="102"/>
      <c r="G707" s="102"/>
      <c r="H707" s="102"/>
      <c r="I707" s="102"/>
      <c r="J707" s="102"/>
      <c r="K707" s="102"/>
      <c r="L707" s="102"/>
      <c r="M707" s="102"/>
      <c r="N707" s="261"/>
      <c r="O707" s="102"/>
      <c r="P707" s="102"/>
      <c r="Q707" s="102"/>
    </row>
    <row r="708" spans="4:17" x14ac:dyDescent="0.25">
      <c r="D708" s="102"/>
      <c r="E708" s="260"/>
      <c r="F708" s="102"/>
      <c r="G708" s="102"/>
      <c r="H708" s="102"/>
      <c r="I708" s="102"/>
      <c r="J708" s="102"/>
      <c r="K708" s="102"/>
      <c r="L708" s="102"/>
      <c r="M708" s="102"/>
      <c r="N708" s="261"/>
      <c r="O708" s="102"/>
      <c r="P708" s="102"/>
      <c r="Q708" s="102"/>
    </row>
    <row r="709" spans="4:17" x14ac:dyDescent="0.25">
      <c r="D709" s="102"/>
      <c r="E709" s="260"/>
      <c r="F709" s="102"/>
      <c r="G709" s="102"/>
      <c r="H709" s="102"/>
      <c r="I709" s="102"/>
      <c r="J709" s="102"/>
      <c r="K709" s="102"/>
      <c r="L709" s="102"/>
      <c r="M709" s="102"/>
      <c r="N709" s="261"/>
      <c r="O709" s="102"/>
      <c r="P709" s="102"/>
      <c r="Q709" s="102"/>
    </row>
    <row r="710" spans="4:17" x14ac:dyDescent="0.25">
      <c r="D710" s="102"/>
      <c r="E710" s="260"/>
      <c r="F710" s="102"/>
      <c r="G710" s="102"/>
      <c r="H710" s="102"/>
      <c r="I710" s="102"/>
      <c r="J710" s="102"/>
      <c r="K710" s="102"/>
      <c r="L710" s="102"/>
      <c r="M710" s="102"/>
      <c r="N710" s="261"/>
      <c r="O710" s="102"/>
      <c r="P710" s="102"/>
      <c r="Q710" s="102"/>
    </row>
    <row r="711" spans="4:17" x14ac:dyDescent="0.25">
      <c r="D711" s="102"/>
      <c r="E711" s="260"/>
      <c r="F711" s="102"/>
      <c r="G711" s="102"/>
      <c r="H711" s="102"/>
      <c r="I711" s="102"/>
      <c r="J711" s="102"/>
      <c r="K711" s="102"/>
      <c r="L711" s="102"/>
      <c r="M711" s="102"/>
      <c r="N711" s="261"/>
      <c r="O711" s="102"/>
      <c r="P711" s="102"/>
      <c r="Q711" s="102"/>
    </row>
    <row r="712" spans="4:17" x14ac:dyDescent="0.25">
      <c r="D712" s="102"/>
      <c r="E712" s="260"/>
      <c r="F712" s="102"/>
      <c r="G712" s="102"/>
      <c r="H712" s="102"/>
      <c r="I712" s="102"/>
      <c r="J712" s="102"/>
      <c r="K712" s="102"/>
      <c r="L712" s="102"/>
      <c r="M712" s="102"/>
      <c r="N712" s="261"/>
      <c r="O712" s="102"/>
      <c r="P712" s="102"/>
      <c r="Q712" s="102"/>
    </row>
    <row r="713" spans="4:17" x14ac:dyDescent="0.25">
      <c r="D713" s="102"/>
      <c r="E713" s="260"/>
      <c r="F713" s="102"/>
      <c r="G713" s="102"/>
      <c r="H713" s="102"/>
      <c r="I713" s="102"/>
      <c r="J713" s="102"/>
      <c r="K713" s="102"/>
      <c r="L713" s="102"/>
      <c r="M713" s="102"/>
      <c r="N713" s="261"/>
      <c r="O713" s="102"/>
      <c r="P713" s="102"/>
      <c r="Q713" s="102"/>
    </row>
    <row r="714" spans="4:17" x14ac:dyDescent="0.25">
      <c r="D714" s="102"/>
      <c r="E714" s="260"/>
      <c r="F714" s="102"/>
      <c r="G714" s="102"/>
      <c r="H714" s="102"/>
      <c r="I714" s="102"/>
      <c r="J714" s="102"/>
      <c r="K714" s="102"/>
      <c r="L714" s="102"/>
      <c r="M714" s="102"/>
      <c r="N714" s="261"/>
      <c r="O714" s="102"/>
      <c r="P714" s="102"/>
      <c r="Q714" s="102"/>
    </row>
    <row r="715" spans="4:17" x14ac:dyDescent="0.25">
      <c r="D715" s="102"/>
      <c r="E715" s="260"/>
      <c r="F715" s="102"/>
      <c r="G715" s="102"/>
      <c r="H715" s="102"/>
      <c r="I715" s="102"/>
      <c r="J715" s="102"/>
      <c r="K715" s="102"/>
      <c r="L715" s="102"/>
      <c r="M715" s="102"/>
      <c r="N715" s="261"/>
      <c r="O715" s="102"/>
      <c r="P715" s="102"/>
      <c r="Q715" s="102"/>
    </row>
    <row r="716" spans="4:17" x14ac:dyDescent="0.25">
      <c r="D716" s="102"/>
      <c r="E716" s="260"/>
      <c r="F716" s="102"/>
      <c r="G716" s="102"/>
      <c r="H716" s="102"/>
      <c r="I716" s="102"/>
      <c r="J716" s="102"/>
      <c r="K716" s="102"/>
      <c r="L716" s="102"/>
      <c r="M716" s="102"/>
      <c r="N716" s="261"/>
      <c r="O716" s="102"/>
      <c r="P716" s="102"/>
      <c r="Q716" s="102"/>
    </row>
    <row r="717" spans="4:17" x14ac:dyDescent="0.25">
      <c r="D717" s="102"/>
      <c r="E717" s="260"/>
      <c r="F717" s="102"/>
      <c r="G717" s="102"/>
      <c r="H717" s="102"/>
      <c r="I717" s="102"/>
      <c r="J717" s="102"/>
      <c r="K717" s="102"/>
      <c r="L717" s="102"/>
      <c r="M717" s="102"/>
      <c r="N717" s="261"/>
      <c r="O717" s="102"/>
      <c r="P717" s="102"/>
      <c r="Q717" s="102"/>
    </row>
    <row r="718" spans="4:17" x14ac:dyDescent="0.25">
      <c r="D718" s="102"/>
      <c r="E718" s="260"/>
      <c r="F718" s="102"/>
      <c r="G718" s="102"/>
      <c r="H718" s="102"/>
      <c r="I718" s="102"/>
      <c r="J718" s="102"/>
      <c r="K718" s="102"/>
      <c r="L718" s="102"/>
      <c r="M718" s="102"/>
      <c r="N718" s="261"/>
      <c r="O718" s="102"/>
      <c r="P718" s="102"/>
      <c r="Q718" s="102"/>
    </row>
    <row r="719" spans="4:17" x14ac:dyDescent="0.25">
      <c r="D719" s="102"/>
      <c r="E719" s="260"/>
      <c r="F719" s="102"/>
      <c r="G719" s="102"/>
      <c r="H719" s="102"/>
      <c r="I719" s="102"/>
      <c r="J719" s="102"/>
      <c r="K719" s="102"/>
      <c r="L719" s="102"/>
      <c r="M719" s="102"/>
      <c r="N719" s="261"/>
      <c r="O719" s="102"/>
      <c r="P719" s="102"/>
      <c r="Q719" s="102"/>
    </row>
    <row r="720" spans="4:17" x14ac:dyDescent="0.25">
      <c r="D720" s="102"/>
      <c r="E720" s="260"/>
      <c r="F720" s="102"/>
      <c r="G720" s="102"/>
      <c r="H720" s="102"/>
      <c r="I720" s="102"/>
      <c r="J720" s="102"/>
      <c r="K720" s="102"/>
      <c r="L720" s="102"/>
      <c r="M720" s="102"/>
      <c r="N720" s="261"/>
      <c r="O720" s="102"/>
      <c r="P720" s="102"/>
      <c r="Q720" s="102"/>
    </row>
    <row r="721" spans="4:17" x14ac:dyDescent="0.25">
      <c r="D721" s="102"/>
      <c r="E721" s="260"/>
      <c r="F721" s="102"/>
      <c r="G721" s="102"/>
      <c r="H721" s="102"/>
      <c r="I721" s="102"/>
      <c r="J721" s="102"/>
      <c r="K721" s="102"/>
      <c r="L721" s="102"/>
      <c r="M721" s="102"/>
      <c r="N721" s="261"/>
      <c r="O721" s="102"/>
      <c r="P721" s="102"/>
      <c r="Q721" s="102"/>
    </row>
    <row r="722" spans="4:17" x14ac:dyDescent="0.25">
      <c r="D722" s="102"/>
      <c r="E722" s="260"/>
      <c r="F722" s="102"/>
      <c r="G722" s="102"/>
      <c r="H722" s="102"/>
      <c r="I722" s="102"/>
      <c r="J722" s="102"/>
      <c r="K722" s="102"/>
      <c r="L722" s="102"/>
      <c r="M722" s="102"/>
      <c r="N722" s="261"/>
      <c r="O722" s="102"/>
      <c r="P722" s="102"/>
      <c r="Q722" s="102"/>
    </row>
    <row r="723" spans="4:17" x14ac:dyDescent="0.25">
      <c r="D723" s="102"/>
      <c r="E723" s="260"/>
      <c r="F723" s="102"/>
      <c r="G723" s="102"/>
      <c r="H723" s="102"/>
      <c r="I723" s="102"/>
      <c r="J723" s="102"/>
      <c r="K723" s="102"/>
      <c r="L723" s="102"/>
      <c r="M723" s="102"/>
      <c r="N723" s="261"/>
      <c r="O723" s="102"/>
      <c r="P723" s="102"/>
      <c r="Q723" s="102"/>
    </row>
    <row r="724" spans="4:17" x14ac:dyDescent="0.25">
      <c r="D724" s="102"/>
      <c r="E724" s="260"/>
      <c r="F724" s="102"/>
      <c r="G724" s="102"/>
      <c r="H724" s="102"/>
      <c r="I724" s="102"/>
      <c r="J724" s="102"/>
      <c r="K724" s="102"/>
      <c r="L724" s="102"/>
      <c r="M724" s="102"/>
      <c r="N724" s="261"/>
      <c r="O724" s="102"/>
      <c r="P724" s="102"/>
      <c r="Q724" s="102"/>
    </row>
    <row r="725" spans="4:17" x14ac:dyDescent="0.25">
      <c r="D725" s="102"/>
      <c r="E725" s="260"/>
      <c r="F725" s="102"/>
      <c r="G725" s="102"/>
      <c r="H725" s="102"/>
      <c r="I725" s="102"/>
      <c r="J725" s="102"/>
      <c r="K725" s="102"/>
      <c r="L725" s="102"/>
      <c r="M725" s="102"/>
      <c r="N725" s="261"/>
      <c r="O725" s="102"/>
      <c r="P725" s="102"/>
      <c r="Q725" s="102"/>
    </row>
    <row r="726" spans="4:17" x14ac:dyDescent="0.25">
      <c r="D726" s="102"/>
      <c r="E726" s="260"/>
      <c r="F726" s="102"/>
      <c r="G726" s="102"/>
      <c r="H726" s="102"/>
      <c r="I726" s="102"/>
      <c r="J726" s="102"/>
      <c r="K726" s="102"/>
      <c r="L726" s="102"/>
      <c r="M726" s="102"/>
      <c r="N726" s="261"/>
      <c r="O726" s="102"/>
      <c r="P726" s="102"/>
      <c r="Q726" s="102"/>
    </row>
    <row r="727" spans="4:17" x14ac:dyDescent="0.25">
      <c r="D727" s="102"/>
      <c r="E727" s="260"/>
      <c r="F727" s="102"/>
      <c r="G727" s="102"/>
      <c r="H727" s="102"/>
      <c r="I727" s="102"/>
      <c r="J727" s="102"/>
      <c r="K727" s="102"/>
      <c r="L727" s="102"/>
      <c r="M727" s="102"/>
      <c r="N727" s="261"/>
      <c r="O727" s="102"/>
      <c r="P727" s="102"/>
      <c r="Q727" s="102"/>
    </row>
    <row r="728" spans="4:17" x14ac:dyDescent="0.25">
      <c r="D728" s="102"/>
      <c r="E728" s="260"/>
      <c r="F728" s="102"/>
      <c r="G728" s="102"/>
      <c r="H728" s="102"/>
      <c r="I728" s="102"/>
      <c r="J728" s="102"/>
      <c r="K728" s="102"/>
      <c r="L728" s="102"/>
      <c r="M728" s="102"/>
      <c r="N728" s="261"/>
      <c r="O728" s="102"/>
      <c r="P728" s="102"/>
      <c r="Q728" s="102"/>
    </row>
    <row r="729" spans="4:17" x14ac:dyDescent="0.25">
      <c r="D729" s="102"/>
      <c r="E729" s="260"/>
      <c r="F729" s="102"/>
      <c r="G729" s="102"/>
      <c r="H729" s="102"/>
      <c r="I729" s="102"/>
      <c r="J729" s="102"/>
      <c r="K729" s="102"/>
      <c r="L729" s="102"/>
      <c r="M729" s="102"/>
      <c r="N729" s="261"/>
      <c r="O729" s="102"/>
      <c r="P729" s="102"/>
      <c r="Q729" s="102"/>
    </row>
    <row r="730" spans="4:17" x14ac:dyDescent="0.25">
      <c r="D730" s="102"/>
      <c r="E730" s="260"/>
      <c r="F730" s="102"/>
      <c r="G730" s="102"/>
      <c r="H730" s="102"/>
      <c r="I730" s="102"/>
      <c r="J730" s="102"/>
      <c r="K730" s="102"/>
      <c r="L730" s="102"/>
      <c r="M730" s="102"/>
      <c r="N730" s="261"/>
      <c r="O730" s="102"/>
      <c r="P730" s="102"/>
      <c r="Q730" s="102"/>
    </row>
    <row r="731" spans="4:17" x14ac:dyDescent="0.25">
      <c r="D731" s="102"/>
      <c r="E731" s="260"/>
      <c r="F731" s="102"/>
      <c r="G731" s="102"/>
      <c r="H731" s="102"/>
      <c r="I731" s="102"/>
      <c r="J731" s="102"/>
      <c r="K731" s="102"/>
      <c r="L731" s="102"/>
      <c r="M731" s="102"/>
      <c r="N731" s="261"/>
      <c r="O731" s="102"/>
      <c r="P731" s="102"/>
      <c r="Q731" s="102"/>
    </row>
    <row r="732" spans="4:17" x14ac:dyDescent="0.25">
      <c r="D732" s="102"/>
      <c r="E732" s="260"/>
      <c r="F732" s="102"/>
      <c r="G732" s="102"/>
      <c r="H732" s="102"/>
      <c r="I732" s="102"/>
      <c r="J732" s="102"/>
      <c r="K732" s="102"/>
      <c r="L732" s="102"/>
      <c r="M732" s="102"/>
      <c r="N732" s="261"/>
      <c r="O732" s="102"/>
      <c r="P732" s="102"/>
      <c r="Q732" s="102"/>
    </row>
    <row r="733" spans="4:17" x14ac:dyDescent="0.25">
      <c r="D733" s="102"/>
      <c r="E733" s="260"/>
      <c r="F733" s="102"/>
      <c r="G733" s="102"/>
      <c r="H733" s="102"/>
      <c r="I733" s="102"/>
      <c r="J733" s="102"/>
      <c r="K733" s="102"/>
      <c r="L733" s="102"/>
      <c r="M733" s="102"/>
      <c r="N733" s="261"/>
      <c r="O733" s="102"/>
      <c r="P733" s="102"/>
      <c r="Q733" s="102"/>
    </row>
    <row r="734" spans="4:17" x14ac:dyDescent="0.25">
      <c r="D734" s="102"/>
      <c r="E734" s="260"/>
      <c r="F734" s="102"/>
      <c r="G734" s="102"/>
      <c r="H734" s="102"/>
      <c r="I734" s="102"/>
      <c r="J734" s="102"/>
      <c r="K734" s="102"/>
      <c r="L734" s="102"/>
      <c r="M734" s="102"/>
      <c r="N734" s="261"/>
      <c r="O734" s="102"/>
      <c r="P734" s="102"/>
      <c r="Q734" s="102"/>
    </row>
    <row r="735" spans="4:17" x14ac:dyDescent="0.25">
      <c r="D735" s="102"/>
      <c r="E735" s="260"/>
      <c r="F735" s="102"/>
      <c r="G735" s="102"/>
      <c r="H735" s="102"/>
      <c r="I735" s="102"/>
      <c r="J735" s="102"/>
      <c r="K735" s="102"/>
      <c r="L735" s="102"/>
      <c r="M735" s="102"/>
      <c r="N735" s="261"/>
      <c r="O735" s="102"/>
      <c r="P735" s="102"/>
      <c r="Q735" s="102"/>
    </row>
    <row r="736" spans="4:17" x14ac:dyDescent="0.25">
      <c r="D736" s="102"/>
      <c r="E736" s="260"/>
      <c r="F736" s="102"/>
      <c r="G736" s="102"/>
      <c r="H736" s="102"/>
      <c r="I736" s="102"/>
      <c r="J736" s="102"/>
      <c r="K736" s="102"/>
      <c r="L736" s="102"/>
      <c r="M736" s="102"/>
      <c r="N736" s="261"/>
      <c r="O736" s="102"/>
      <c r="P736" s="102"/>
      <c r="Q736" s="102"/>
    </row>
    <row r="737" spans="4:17" x14ac:dyDescent="0.25">
      <c r="D737" s="102"/>
      <c r="E737" s="260"/>
      <c r="F737" s="102"/>
      <c r="G737" s="102"/>
      <c r="H737" s="102"/>
      <c r="I737" s="102"/>
      <c r="J737" s="102"/>
      <c r="K737" s="102"/>
      <c r="L737" s="102"/>
      <c r="M737" s="102"/>
      <c r="N737" s="261"/>
      <c r="O737" s="102"/>
      <c r="P737" s="102"/>
      <c r="Q737" s="102"/>
    </row>
    <row r="738" spans="4:17" x14ac:dyDescent="0.25">
      <c r="D738" s="102"/>
      <c r="E738" s="260"/>
      <c r="F738" s="102"/>
      <c r="G738" s="102"/>
      <c r="H738" s="102"/>
      <c r="I738" s="102"/>
      <c r="J738" s="102"/>
      <c r="K738" s="102"/>
      <c r="L738" s="102"/>
      <c r="M738" s="102"/>
      <c r="N738" s="261"/>
      <c r="O738" s="102"/>
      <c r="P738" s="102"/>
      <c r="Q738" s="102"/>
    </row>
    <row r="739" spans="4:17" x14ac:dyDescent="0.25">
      <c r="D739" s="102"/>
      <c r="E739" s="260"/>
      <c r="F739" s="102"/>
      <c r="G739" s="102"/>
      <c r="H739" s="102"/>
      <c r="I739" s="102"/>
      <c r="J739" s="102"/>
      <c r="K739" s="102"/>
      <c r="L739" s="102"/>
      <c r="M739" s="102"/>
      <c r="N739" s="261"/>
      <c r="O739" s="102"/>
      <c r="P739" s="102"/>
      <c r="Q739" s="102"/>
    </row>
    <row r="740" spans="4:17" x14ac:dyDescent="0.25">
      <c r="D740" s="102"/>
      <c r="E740" s="260"/>
      <c r="F740" s="102"/>
      <c r="G740" s="102"/>
      <c r="H740" s="102"/>
      <c r="I740" s="102"/>
      <c r="J740" s="102"/>
      <c r="K740" s="102"/>
      <c r="L740" s="102"/>
      <c r="M740" s="102"/>
      <c r="N740" s="261"/>
      <c r="O740" s="102"/>
      <c r="P740" s="102"/>
      <c r="Q740" s="102"/>
    </row>
    <row r="741" spans="4:17" x14ac:dyDescent="0.25">
      <c r="D741" s="102"/>
      <c r="E741" s="260"/>
      <c r="F741" s="102"/>
      <c r="G741" s="102"/>
      <c r="H741" s="102"/>
      <c r="I741" s="102"/>
      <c r="J741" s="102"/>
      <c r="K741" s="102"/>
      <c r="L741" s="102"/>
      <c r="M741" s="102"/>
      <c r="N741" s="261"/>
      <c r="O741" s="102"/>
      <c r="P741" s="102"/>
      <c r="Q741" s="102"/>
    </row>
    <row r="742" spans="4:17" x14ac:dyDescent="0.25">
      <c r="D742" s="102"/>
      <c r="E742" s="260"/>
      <c r="F742" s="102"/>
      <c r="G742" s="102"/>
      <c r="H742" s="102"/>
      <c r="I742" s="102"/>
      <c r="J742" s="102"/>
      <c r="K742" s="102"/>
      <c r="L742" s="102"/>
      <c r="M742" s="102"/>
      <c r="N742" s="261"/>
      <c r="O742" s="102"/>
      <c r="P742" s="102"/>
      <c r="Q742" s="102"/>
    </row>
    <row r="743" spans="4:17" x14ac:dyDescent="0.25">
      <c r="D743" s="102"/>
      <c r="E743" s="260"/>
      <c r="F743" s="102"/>
      <c r="G743" s="102"/>
      <c r="H743" s="102"/>
      <c r="I743" s="102"/>
      <c r="J743" s="102"/>
      <c r="K743" s="102"/>
      <c r="L743" s="102"/>
      <c r="M743" s="102"/>
      <c r="N743" s="261"/>
      <c r="O743" s="102"/>
      <c r="P743" s="102"/>
      <c r="Q743" s="102"/>
    </row>
    <row r="744" spans="4:17" x14ac:dyDescent="0.25">
      <c r="D744" s="102"/>
      <c r="E744" s="260"/>
      <c r="F744" s="102"/>
      <c r="G744" s="102"/>
      <c r="H744" s="102"/>
      <c r="I744" s="102"/>
      <c r="J744" s="102"/>
      <c r="K744" s="102"/>
      <c r="L744" s="102"/>
      <c r="M744" s="102"/>
      <c r="N744" s="261"/>
      <c r="O744" s="102"/>
      <c r="P744" s="102"/>
      <c r="Q744" s="102"/>
    </row>
    <row r="745" spans="4:17" x14ac:dyDescent="0.25">
      <c r="D745" s="102"/>
      <c r="E745" s="260"/>
      <c r="F745" s="102"/>
      <c r="G745" s="102"/>
      <c r="H745" s="102"/>
      <c r="I745" s="102"/>
      <c r="J745" s="102"/>
      <c r="K745" s="102"/>
      <c r="L745" s="102"/>
      <c r="M745" s="102"/>
      <c r="N745" s="261"/>
      <c r="O745" s="102"/>
      <c r="P745" s="102"/>
      <c r="Q745" s="102"/>
    </row>
    <row r="746" spans="4:17" x14ac:dyDescent="0.25">
      <c r="D746" s="102"/>
      <c r="E746" s="260"/>
      <c r="F746" s="102"/>
      <c r="G746" s="102"/>
      <c r="H746" s="102"/>
      <c r="I746" s="102"/>
      <c r="J746" s="102"/>
      <c r="K746" s="102"/>
      <c r="L746" s="102"/>
      <c r="M746" s="102"/>
      <c r="N746" s="261"/>
      <c r="O746" s="102"/>
      <c r="P746" s="102"/>
      <c r="Q746" s="102"/>
    </row>
    <row r="747" spans="4:17" x14ac:dyDescent="0.25">
      <c r="D747" s="102"/>
      <c r="E747" s="260"/>
      <c r="F747" s="102"/>
      <c r="G747" s="102"/>
      <c r="H747" s="102"/>
      <c r="I747" s="102"/>
      <c r="J747" s="102"/>
      <c r="K747" s="102"/>
      <c r="L747" s="102"/>
      <c r="M747" s="102"/>
      <c r="N747" s="261"/>
      <c r="O747" s="102"/>
      <c r="P747" s="102"/>
      <c r="Q747" s="102"/>
    </row>
    <row r="748" spans="4:17" x14ac:dyDescent="0.25">
      <c r="D748" s="102"/>
      <c r="E748" s="260"/>
      <c r="F748" s="102"/>
      <c r="G748" s="102"/>
      <c r="H748" s="102"/>
      <c r="I748" s="102"/>
      <c r="J748" s="102"/>
      <c r="K748" s="102"/>
      <c r="L748" s="102"/>
      <c r="M748" s="102"/>
      <c r="N748" s="261"/>
      <c r="O748" s="102"/>
      <c r="P748" s="102"/>
      <c r="Q748" s="102"/>
    </row>
    <row r="749" spans="4:17" x14ac:dyDescent="0.25">
      <c r="D749" s="102"/>
      <c r="E749" s="260"/>
      <c r="F749" s="102"/>
      <c r="G749" s="102"/>
      <c r="H749" s="102"/>
      <c r="I749" s="102"/>
      <c r="J749" s="102"/>
      <c r="K749" s="102"/>
      <c r="L749" s="102"/>
      <c r="M749" s="102"/>
      <c r="N749" s="261"/>
      <c r="O749" s="102"/>
      <c r="P749" s="102"/>
      <c r="Q749" s="102"/>
    </row>
    <row r="750" spans="4:17" x14ac:dyDescent="0.25">
      <c r="D750" s="102"/>
      <c r="E750" s="260"/>
      <c r="F750" s="102"/>
      <c r="G750" s="102"/>
      <c r="H750" s="102"/>
      <c r="I750" s="102"/>
      <c r="J750" s="102"/>
      <c r="K750" s="102"/>
      <c r="L750" s="102"/>
      <c r="M750" s="102"/>
      <c r="N750" s="261"/>
      <c r="O750" s="102"/>
      <c r="P750" s="102"/>
      <c r="Q750" s="102"/>
    </row>
    <row r="751" spans="4:17" x14ac:dyDescent="0.25">
      <c r="D751" s="102"/>
      <c r="E751" s="260"/>
      <c r="F751" s="102"/>
      <c r="G751" s="102"/>
      <c r="H751" s="102"/>
      <c r="I751" s="102"/>
      <c r="J751" s="102"/>
      <c r="K751" s="102"/>
      <c r="L751" s="102"/>
      <c r="M751" s="102"/>
      <c r="N751" s="261"/>
      <c r="O751" s="102"/>
      <c r="P751" s="102"/>
      <c r="Q751" s="102"/>
    </row>
    <row r="752" spans="4:17" x14ac:dyDescent="0.25">
      <c r="D752" s="102"/>
      <c r="E752" s="260"/>
      <c r="F752" s="102"/>
      <c r="G752" s="102"/>
      <c r="H752" s="102"/>
      <c r="I752" s="102"/>
      <c r="J752" s="102"/>
      <c r="K752" s="102"/>
      <c r="L752" s="102"/>
      <c r="M752" s="102"/>
      <c r="N752" s="261"/>
      <c r="O752" s="102"/>
      <c r="P752" s="102"/>
      <c r="Q752" s="102"/>
    </row>
    <row r="753" spans="4:17" x14ac:dyDescent="0.25">
      <c r="D753" s="102"/>
      <c r="E753" s="260"/>
      <c r="F753" s="102"/>
      <c r="G753" s="102"/>
      <c r="H753" s="102"/>
      <c r="I753" s="102"/>
      <c r="J753" s="102"/>
      <c r="K753" s="102"/>
      <c r="L753" s="102"/>
      <c r="M753" s="102"/>
      <c r="N753" s="261"/>
      <c r="O753" s="102"/>
      <c r="P753" s="102"/>
      <c r="Q753" s="102"/>
    </row>
    <row r="754" spans="4:17" x14ac:dyDescent="0.25">
      <c r="D754" s="102"/>
      <c r="E754" s="260"/>
      <c r="F754" s="102"/>
      <c r="G754" s="102"/>
      <c r="H754" s="102"/>
      <c r="I754" s="102"/>
      <c r="J754" s="102"/>
      <c r="K754" s="102"/>
      <c r="L754" s="102"/>
      <c r="M754" s="102"/>
      <c r="N754" s="261"/>
      <c r="O754" s="102"/>
      <c r="P754" s="102"/>
      <c r="Q754" s="102"/>
    </row>
    <row r="755" spans="4:17" x14ac:dyDescent="0.25">
      <c r="D755" s="102"/>
      <c r="E755" s="260"/>
      <c r="F755" s="102"/>
      <c r="G755" s="102"/>
      <c r="H755" s="102"/>
      <c r="I755" s="102"/>
      <c r="J755" s="102"/>
      <c r="K755" s="102"/>
      <c r="L755" s="102"/>
      <c r="M755" s="102"/>
      <c r="N755" s="261"/>
      <c r="O755" s="102"/>
      <c r="P755" s="102"/>
      <c r="Q755" s="102"/>
    </row>
    <row r="756" spans="4:17" x14ac:dyDescent="0.25">
      <c r="D756" s="102"/>
      <c r="E756" s="260"/>
      <c r="F756" s="102"/>
      <c r="G756" s="102"/>
      <c r="H756" s="102"/>
      <c r="I756" s="102"/>
      <c r="J756" s="102"/>
      <c r="K756" s="102"/>
      <c r="L756" s="102"/>
      <c r="M756" s="102"/>
      <c r="N756" s="261"/>
      <c r="O756" s="102"/>
      <c r="P756" s="102"/>
      <c r="Q756" s="102"/>
    </row>
    <row r="757" spans="4:17" x14ac:dyDescent="0.25">
      <c r="D757" s="102"/>
      <c r="E757" s="260"/>
      <c r="F757" s="102"/>
      <c r="G757" s="102"/>
      <c r="H757" s="102"/>
      <c r="I757" s="102"/>
      <c r="J757" s="102"/>
      <c r="K757" s="102"/>
      <c r="L757" s="102"/>
      <c r="M757" s="102"/>
      <c r="N757" s="261"/>
      <c r="O757" s="102"/>
      <c r="P757" s="102"/>
      <c r="Q757" s="102"/>
    </row>
    <row r="758" spans="4:17" x14ac:dyDescent="0.25">
      <c r="D758" s="102"/>
      <c r="E758" s="260"/>
      <c r="F758" s="102"/>
      <c r="G758" s="102"/>
      <c r="H758" s="102"/>
      <c r="I758" s="102"/>
      <c r="J758" s="102"/>
      <c r="K758" s="102"/>
      <c r="L758" s="102"/>
      <c r="M758" s="102"/>
      <c r="N758" s="261"/>
      <c r="O758" s="102"/>
      <c r="P758" s="102"/>
      <c r="Q758" s="102"/>
    </row>
    <row r="759" spans="4:17" x14ac:dyDescent="0.25">
      <c r="D759" s="102"/>
      <c r="E759" s="260"/>
      <c r="F759" s="102"/>
      <c r="G759" s="102"/>
      <c r="H759" s="102"/>
      <c r="I759" s="102"/>
      <c r="J759" s="102"/>
      <c r="K759" s="102"/>
      <c r="L759" s="102"/>
      <c r="M759" s="102"/>
      <c r="N759" s="261"/>
      <c r="O759" s="102"/>
      <c r="P759" s="102"/>
      <c r="Q759" s="102"/>
    </row>
    <row r="760" spans="4:17" x14ac:dyDescent="0.25">
      <c r="D760" s="102"/>
      <c r="E760" s="260"/>
      <c r="F760" s="102"/>
      <c r="G760" s="102"/>
      <c r="H760" s="102"/>
      <c r="I760" s="102"/>
      <c r="J760" s="102"/>
      <c r="K760" s="102"/>
      <c r="L760" s="102"/>
      <c r="M760" s="102"/>
      <c r="N760" s="261"/>
      <c r="O760" s="102"/>
      <c r="P760" s="102"/>
      <c r="Q760" s="102"/>
    </row>
    <row r="761" spans="4:17" x14ac:dyDescent="0.25">
      <c r="D761" s="102"/>
      <c r="E761" s="260"/>
      <c r="F761" s="102"/>
      <c r="G761" s="102"/>
      <c r="H761" s="102"/>
      <c r="I761" s="102"/>
      <c r="J761" s="102"/>
      <c r="K761" s="102"/>
      <c r="L761" s="102"/>
      <c r="M761" s="102"/>
      <c r="N761" s="261"/>
      <c r="O761" s="102"/>
      <c r="P761" s="102"/>
      <c r="Q761" s="102"/>
    </row>
    <row r="762" spans="4:17" x14ac:dyDescent="0.25">
      <c r="D762" s="102"/>
      <c r="E762" s="260"/>
      <c r="F762" s="102"/>
      <c r="G762" s="102"/>
      <c r="H762" s="102"/>
      <c r="I762" s="102"/>
      <c r="J762" s="102"/>
      <c r="K762" s="102"/>
      <c r="L762" s="102"/>
      <c r="M762" s="102"/>
      <c r="N762" s="261"/>
      <c r="O762" s="102"/>
      <c r="P762" s="102"/>
      <c r="Q762" s="102"/>
    </row>
    <row r="763" spans="4:17" x14ac:dyDescent="0.25">
      <c r="D763" s="102"/>
      <c r="E763" s="260"/>
      <c r="F763" s="102"/>
      <c r="G763" s="102"/>
      <c r="H763" s="102"/>
      <c r="I763" s="102"/>
      <c r="J763" s="102"/>
      <c r="K763" s="102"/>
      <c r="L763" s="102"/>
      <c r="M763" s="102"/>
      <c r="N763" s="261"/>
      <c r="O763" s="102"/>
      <c r="P763" s="102"/>
      <c r="Q763" s="102"/>
    </row>
    <row r="764" spans="4:17" x14ac:dyDescent="0.25">
      <c r="D764" s="102"/>
      <c r="E764" s="260"/>
      <c r="F764" s="102"/>
      <c r="G764" s="102"/>
      <c r="H764" s="102"/>
      <c r="I764" s="102"/>
      <c r="J764" s="102"/>
      <c r="K764" s="102"/>
      <c r="L764" s="102"/>
      <c r="M764" s="102"/>
      <c r="N764" s="261"/>
      <c r="O764" s="102"/>
      <c r="P764" s="102"/>
      <c r="Q764" s="102"/>
    </row>
    <row r="765" spans="4:17" x14ac:dyDescent="0.25">
      <c r="D765" s="102"/>
      <c r="E765" s="260"/>
      <c r="F765" s="102"/>
      <c r="G765" s="102"/>
      <c r="H765" s="102"/>
      <c r="I765" s="102"/>
      <c r="J765" s="102"/>
      <c r="K765" s="102"/>
      <c r="L765" s="102"/>
      <c r="M765" s="102"/>
      <c r="N765" s="261"/>
      <c r="O765" s="102"/>
      <c r="P765" s="102"/>
      <c r="Q765" s="102"/>
    </row>
    <row r="766" spans="4:17" x14ac:dyDescent="0.25">
      <c r="D766" s="102"/>
      <c r="E766" s="260"/>
      <c r="F766" s="102"/>
      <c r="G766" s="102"/>
      <c r="H766" s="102"/>
      <c r="I766" s="102"/>
      <c r="J766" s="102"/>
      <c r="K766" s="102"/>
      <c r="L766" s="102"/>
      <c r="M766" s="102"/>
      <c r="N766" s="261"/>
      <c r="O766" s="102"/>
      <c r="P766" s="102"/>
      <c r="Q766" s="102"/>
    </row>
    <row r="767" spans="4:17" x14ac:dyDescent="0.25">
      <c r="D767" s="102"/>
      <c r="E767" s="260"/>
      <c r="F767" s="102"/>
      <c r="G767" s="102"/>
      <c r="H767" s="102"/>
      <c r="I767" s="102"/>
      <c r="J767" s="102"/>
      <c r="K767" s="102"/>
      <c r="L767" s="102"/>
      <c r="M767" s="102"/>
      <c r="N767" s="261"/>
      <c r="O767" s="102"/>
      <c r="P767" s="102"/>
      <c r="Q767" s="102"/>
    </row>
    <row r="768" spans="4:17" x14ac:dyDescent="0.25">
      <c r="D768" s="102"/>
      <c r="E768" s="260"/>
      <c r="F768" s="102"/>
      <c r="G768" s="102"/>
      <c r="H768" s="102"/>
      <c r="I768" s="102"/>
      <c r="J768" s="102"/>
      <c r="K768" s="102"/>
      <c r="L768" s="102"/>
      <c r="M768" s="102"/>
      <c r="N768" s="261"/>
      <c r="O768" s="102"/>
      <c r="P768" s="102"/>
      <c r="Q768" s="102"/>
    </row>
    <row r="769" spans="4:17" x14ac:dyDescent="0.25">
      <c r="D769" s="102"/>
      <c r="E769" s="260"/>
      <c r="F769" s="102"/>
      <c r="G769" s="102"/>
      <c r="H769" s="102"/>
      <c r="I769" s="102"/>
      <c r="J769" s="102"/>
      <c r="K769" s="102"/>
      <c r="L769" s="102"/>
      <c r="M769" s="102"/>
      <c r="N769" s="261"/>
      <c r="O769" s="102"/>
      <c r="P769" s="102"/>
      <c r="Q769" s="102"/>
    </row>
    <row r="770" spans="4:17" x14ac:dyDescent="0.25">
      <c r="D770" s="102"/>
      <c r="E770" s="260"/>
      <c r="F770" s="102"/>
      <c r="G770" s="102"/>
      <c r="H770" s="102"/>
      <c r="I770" s="102"/>
      <c r="J770" s="102"/>
      <c r="K770" s="102"/>
      <c r="L770" s="102"/>
      <c r="M770" s="102"/>
      <c r="N770" s="261"/>
      <c r="O770" s="102"/>
      <c r="P770" s="102"/>
      <c r="Q770" s="102"/>
    </row>
    <row r="771" spans="4:17" x14ac:dyDescent="0.25">
      <c r="D771" s="102"/>
      <c r="E771" s="260"/>
      <c r="F771" s="102"/>
      <c r="G771" s="102"/>
      <c r="H771" s="102"/>
      <c r="I771" s="102"/>
      <c r="J771" s="102"/>
      <c r="K771" s="102"/>
      <c r="L771" s="102"/>
      <c r="M771" s="102"/>
      <c r="N771" s="261"/>
      <c r="O771" s="102"/>
      <c r="P771" s="102"/>
      <c r="Q771" s="102"/>
    </row>
    <row r="772" spans="4:17" x14ac:dyDescent="0.25">
      <c r="D772" s="102"/>
      <c r="E772" s="260"/>
      <c r="F772" s="102"/>
      <c r="G772" s="102"/>
      <c r="H772" s="102"/>
      <c r="I772" s="102"/>
      <c r="J772" s="102"/>
      <c r="K772" s="102"/>
      <c r="L772" s="102"/>
      <c r="M772" s="102"/>
      <c r="N772" s="261"/>
      <c r="O772" s="102"/>
      <c r="P772" s="102"/>
      <c r="Q772" s="102"/>
    </row>
    <row r="773" spans="4:17" x14ac:dyDescent="0.25">
      <c r="D773" s="102"/>
      <c r="E773" s="260"/>
      <c r="F773" s="102"/>
      <c r="G773" s="102"/>
      <c r="H773" s="102"/>
      <c r="I773" s="102"/>
      <c r="J773" s="102"/>
      <c r="K773" s="102"/>
      <c r="L773" s="102"/>
      <c r="M773" s="102"/>
      <c r="N773" s="261"/>
      <c r="O773" s="102"/>
      <c r="P773" s="102"/>
      <c r="Q773" s="102"/>
    </row>
    <row r="774" spans="4:17" x14ac:dyDescent="0.25">
      <c r="D774" s="102"/>
      <c r="E774" s="260"/>
      <c r="F774" s="102"/>
      <c r="G774" s="102"/>
      <c r="H774" s="102"/>
      <c r="I774" s="102"/>
      <c r="J774" s="102"/>
      <c r="K774" s="102"/>
      <c r="L774" s="102"/>
      <c r="M774" s="102"/>
      <c r="N774" s="261"/>
      <c r="O774" s="102"/>
      <c r="P774" s="102"/>
      <c r="Q774" s="102"/>
    </row>
    <row r="775" spans="4:17" x14ac:dyDescent="0.25">
      <c r="D775" s="102"/>
      <c r="E775" s="260"/>
      <c r="F775" s="102"/>
      <c r="G775" s="102"/>
      <c r="H775" s="102"/>
      <c r="I775" s="102"/>
      <c r="J775" s="102"/>
      <c r="K775" s="102"/>
      <c r="L775" s="102"/>
      <c r="M775" s="102"/>
      <c r="N775" s="261"/>
      <c r="O775" s="102"/>
      <c r="P775" s="102"/>
      <c r="Q775" s="102"/>
    </row>
    <row r="776" spans="4:17" x14ac:dyDescent="0.25">
      <c r="D776" s="102"/>
      <c r="E776" s="260"/>
      <c r="F776" s="102"/>
      <c r="G776" s="102"/>
      <c r="H776" s="102"/>
      <c r="I776" s="102"/>
      <c r="J776" s="102"/>
      <c r="K776" s="102"/>
      <c r="L776" s="102"/>
      <c r="M776" s="102"/>
      <c r="N776" s="261"/>
      <c r="O776" s="102"/>
      <c r="P776" s="102"/>
      <c r="Q776" s="102"/>
    </row>
    <row r="777" spans="4:17" x14ac:dyDescent="0.25">
      <c r="D777" s="102"/>
      <c r="E777" s="260"/>
      <c r="F777" s="102"/>
      <c r="G777" s="102"/>
      <c r="H777" s="102"/>
      <c r="I777" s="102"/>
      <c r="J777" s="102"/>
      <c r="K777" s="102"/>
      <c r="L777" s="102"/>
      <c r="M777" s="102"/>
      <c r="N777" s="261"/>
      <c r="O777" s="102"/>
      <c r="P777" s="102"/>
      <c r="Q777" s="102"/>
    </row>
    <row r="778" spans="4:17" x14ac:dyDescent="0.25">
      <c r="D778" s="102"/>
      <c r="E778" s="260"/>
      <c r="F778" s="102"/>
      <c r="G778" s="102"/>
      <c r="H778" s="102"/>
      <c r="I778" s="102"/>
      <c r="J778" s="102"/>
      <c r="K778" s="102"/>
      <c r="L778" s="102"/>
      <c r="M778" s="102"/>
      <c r="N778" s="261"/>
      <c r="O778" s="102"/>
      <c r="P778" s="102"/>
      <c r="Q778" s="102"/>
    </row>
    <row r="779" spans="4:17" x14ac:dyDescent="0.25">
      <c r="D779" s="102"/>
      <c r="E779" s="260"/>
      <c r="F779" s="102"/>
      <c r="G779" s="102"/>
      <c r="H779" s="102"/>
      <c r="I779" s="102"/>
      <c r="J779" s="102"/>
      <c r="K779" s="102"/>
      <c r="L779" s="102"/>
      <c r="M779" s="102"/>
      <c r="N779" s="261"/>
      <c r="O779" s="102"/>
      <c r="P779" s="102"/>
      <c r="Q779" s="102"/>
    </row>
    <row r="780" spans="4:17" x14ac:dyDescent="0.25">
      <c r="D780" s="102"/>
      <c r="E780" s="260"/>
      <c r="F780" s="102"/>
      <c r="G780" s="102"/>
      <c r="H780" s="102"/>
      <c r="I780" s="102"/>
      <c r="J780" s="102"/>
      <c r="K780" s="102"/>
      <c r="L780" s="102"/>
      <c r="M780" s="102"/>
      <c r="N780" s="261"/>
      <c r="O780" s="102"/>
      <c r="P780" s="102"/>
      <c r="Q780" s="102"/>
    </row>
    <row r="781" spans="4:17" x14ac:dyDescent="0.25">
      <c r="D781" s="102"/>
      <c r="E781" s="260"/>
      <c r="F781" s="102"/>
      <c r="G781" s="102"/>
      <c r="H781" s="102"/>
      <c r="I781" s="102"/>
      <c r="J781" s="102"/>
      <c r="K781" s="102"/>
      <c r="L781" s="102"/>
      <c r="M781" s="102"/>
      <c r="N781" s="261"/>
      <c r="O781" s="102"/>
      <c r="P781" s="102"/>
      <c r="Q781" s="102"/>
    </row>
    <row r="782" spans="4:17" x14ac:dyDescent="0.25">
      <c r="D782" s="102"/>
      <c r="E782" s="260"/>
      <c r="F782" s="102"/>
      <c r="G782" s="102"/>
      <c r="H782" s="102"/>
      <c r="I782" s="102"/>
      <c r="J782" s="102"/>
      <c r="K782" s="102"/>
      <c r="L782" s="102"/>
      <c r="M782" s="102"/>
      <c r="N782" s="261"/>
      <c r="O782" s="102"/>
      <c r="P782" s="102"/>
      <c r="Q782" s="102"/>
    </row>
    <row r="783" spans="4:17" x14ac:dyDescent="0.25">
      <c r="D783" s="102"/>
      <c r="E783" s="260"/>
      <c r="F783" s="102"/>
      <c r="G783" s="102"/>
      <c r="H783" s="102"/>
      <c r="I783" s="102"/>
      <c r="J783" s="102"/>
      <c r="K783" s="102"/>
      <c r="L783" s="102"/>
      <c r="M783" s="102"/>
      <c r="N783" s="261"/>
      <c r="O783" s="102"/>
      <c r="P783" s="102"/>
      <c r="Q783" s="102"/>
    </row>
    <row r="784" spans="4:17" x14ac:dyDescent="0.25">
      <c r="D784" s="102"/>
      <c r="E784" s="260"/>
      <c r="F784" s="102"/>
      <c r="G784" s="102"/>
      <c r="H784" s="102"/>
      <c r="I784" s="102"/>
      <c r="J784" s="102"/>
      <c r="K784" s="102"/>
      <c r="L784" s="102"/>
      <c r="M784" s="102"/>
      <c r="N784" s="261"/>
      <c r="O784" s="102"/>
      <c r="P784" s="102"/>
      <c r="Q784" s="102"/>
    </row>
    <row r="785" spans="4:17" x14ac:dyDescent="0.25">
      <c r="D785" s="102"/>
      <c r="E785" s="260"/>
      <c r="F785" s="102"/>
      <c r="G785" s="102"/>
      <c r="H785" s="102"/>
      <c r="I785" s="102"/>
      <c r="J785" s="102"/>
      <c r="K785" s="102"/>
      <c r="L785" s="102"/>
      <c r="M785" s="102"/>
      <c r="N785" s="261"/>
      <c r="O785" s="102"/>
      <c r="P785" s="102"/>
      <c r="Q785" s="102"/>
    </row>
    <row r="786" spans="4:17" x14ac:dyDescent="0.25">
      <c r="D786" s="102"/>
      <c r="E786" s="260"/>
      <c r="F786" s="102"/>
      <c r="G786" s="102"/>
      <c r="H786" s="102"/>
      <c r="I786" s="102"/>
      <c r="J786" s="102"/>
      <c r="K786" s="102"/>
      <c r="L786" s="102"/>
      <c r="M786" s="102"/>
      <c r="N786" s="261"/>
      <c r="O786" s="102"/>
      <c r="P786" s="102"/>
      <c r="Q786" s="102"/>
    </row>
    <row r="787" spans="4:17" x14ac:dyDescent="0.25">
      <c r="D787" s="102"/>
      <c r="E787" s="260"/>
      <c r="F787" s="102"/>
      <c r="G787" s="102"/>
      <c r="H787" s="102"/>
      <c r="I787" s="102"/>
      <c r="J787" s="102"/>
      <c r="K787" s="102"/>
      <c r="L787" s="102"/>
      <c r="M787" s="102"/>
      <c r="N787" s="261"/>
      <c r="O787" s="102"/>
      <c r="P787" s="102"/>
      <c r="Q787" s="102"/>
    </row>
    <row r="788" spans="4:17" x14ac:dyDescent="0.25">
      <c r="D788" s="102"/>
      <c r="E788" s="260"/>
      <c r="F788" s="102"/>
      <c r="G788" s="102"/>
      <c r="H788" s="102"/>
      <c r="I788" s="102"/>
      <c r="J788" s="102"/>
      <c r="K788" s="102"/>
      <c r="L788" s="102"/>
      <c r="M788" s="102"/>
      <c r="N788" s="261"/>
      <c r="O788" s="102"/>
      <c r="P788" s="102"/>
      <c r="Q788" s="102"/>
    </row>
    <row r="789" spans="4:17" x14ac:dyDescent="0.25">
      <c r="D789" s="102"/>
      <c r="E789" s="260"/>
      <c r="F789" s="102"/>
      <c r="G789" s="102"/>
      <c r="H789" s="102"/>
      <c r="I789" s="102"/>
      <c r="J789" s="102"/>
      <c r="K789" s="102"/>
      <c r="L789" s="102"/>
      <c r="M789" s="102"/>
      <c r="N789" s="261"/>
      <c r="O789" s="102"/>
      <c r="P789" s="102"/>
      <c r="Q789" s="102"/>
    </row>
    <row r="790" spans="4:17" x14ac:dyDescent="0.25">
      <c r="D790" s="102"/>
      <c r="E790" s="260"/>
      <c r="F790" s="102"/>
      <c r="G790" s="102"/>
      <c r="H790" s="102"/>
      <c r="I790" s="102"/>
      <c r="J790" s="102"/>
      <c r="K790" s="102"/>
      <c r="L790" s="102"/>
      <c r="M790" s="102"/>
      <c r="N790" s="261"/>
      <c r="O790" s="102"/>
      <c r="P790" s="102"/>
      <c r="Q790" s="102"/>
    </row>
    <row r="791" spans="4:17" x14ac:dyDescent="0.25">
      <c r="D791" s="102"/>
      <c r="E791" s="260"/>
      <c r="F791" s="102"/>
      <c r="G791" s="102"/>
      <c r="H791" s="102"/>
      <c r="I791" s="102"/>
      <c r="J791" s="102"/>
      <c r="K791" s="102"/>
      <c r="L791" s="102"/>
      <c r="M791" s="102"/>
      <c r="N791" s="261"/>
      <c r="O791" s="102"/>
      <c r="P791" s="102"/>
      <c r="Q791" s="102"/>
    </row>
    <row r="792" spans="4:17" x14ac:dyDescent="0.25">
      <c r="D792" s="102"/>
      <c r="E792" s="260"/>
      <c r="F792" s="102"/>
      <c r="G792" s="102"/>
      <c r="H792" s="102"/>
      <c r="I792" s="102"/>
      <c r="J792" s="102"/>
      <c r="K792" s="102"/>
      <c r="L792" s="102"/>
      <c r="M792" s="102"/>
      <c r="N792" s="261"/>
      <c r="O792" s="102"/>
      <c r="P792" s="102"/>
      <c r="Q792" s="102"/>
    </row>
    <row r="793" spans="4:17" x14ac:dyDescent="0.25">
      <c r="D793" s="102"/>
      <c r="E793" s="260"/>
      <c r="F793" s="102"/>
      <c r="G793" s="102"/>
      <c r="H793" s="102"/>
      <c r="I793" s="102"/>
      <c r="J793" s="102"/>
      <c r="K793" s="102"/>
      <c r="L793" s="102"/>
      <c r="M793" s="102"/>
      <c r="N793" s="261"/>
      <c r="O793" s="102"/>
      <c r="P793" s="102"/>
      <c r="Q793" s="102"/>
    </row>
    <row r="794" spans="4:17" x14ac:dyDescent="0.25">
      <c r="D794" s="102"/>
      <c r="E794" s="260"/>
      <c r="F794" s="102"/>
      <c r="G794" s="102"/>
      <c r="H794" s="102"/>
      <c r="I794" s="102"/>
      <c r="J794" s="102"/>
      <c r="K794" s="102"/>
      <c r="L794" s="102"/>
      <c r="M794" s="102"/>
      <c r="N794" s="261"/>
      <c r="O794" s="102"/>
      <c r="P794" s="102"/>
      <c r="Q794" s="102"/>
    </row>
    <row r="795" spans="4:17" x14ac:dyDescent="0.25">
      <c r="D795" s="102"/>
      <c r="E795" s="260"/>
      <c r="F795" s="102"/>
      <c r="G795" s="102"/>
      <c r="H795" s="102"/>
      <c r="I795" s="102"/>
      <c r="J795" s="102"/>
      <c r="K795" s="102"/>
      <c r="L795" s="102"/>
      <c r="M795" s="102"/>
      <c r="N795" s="261"/>
      <c r="O795" s="102"/>
      <c r="P795" s="102"/>
      <c r="Q795" s="102"/>
    </row>
    <row r="796" spans="4:17" x14ac:dyDescent="0.25">
      <c r="D796" s="102"/>
      <c r="E796" s="260"/>
      <c r="F796" s="102"/>
      <c r="G796" s="102"/>
      <c r="H796" s="102"/>
      <c r="I796" s="102"/>
      <c r="J796" s="102"/>
      <c r="K796" s="102"/>
      <c r="L796" s="102"/>
      <c r="M796" s="102"/>
      <c r="N796" s="261"/>
      <c r="O796" s="102"/>
      <c r="P796" s="102"/>
      <c r="Q796" s="102"/>
    </row>
    <row r="797" spans="4:17" x14ac:dyDescent="0.25">
      <c r="D797" s="102"/>
      <c r="E797" s="260"/>
      <c r="F797" s="102"/>
      <c r="G797" s="102"/>
      <c r="H797" s="102"/>
      <c r="I797" s="102"/>
      <c r="J797" s="102"/>
      <c r="K797" s="102"/>
      <c r="L797" s="102"/>
      <c r="M797" s="102"/>
      <c r="N797" s="261"/>
      <c r="O797" s="102"/>
      <c r="P797" s="102"/>
      <c r="Q797" s="102"/>
    </row>
    <row r="798" spans="4:17" x14ac:dyDescent="0.25">
      <c r="D798" s="102"/>
      <c r="E798" s="260"/>
      <c r="F798" s="102"/>
      <c r="G798" s="102"/>
      <c r="H798" s="102"/>
      <c r="I798" s="102"/>
      <c r="J798" s="102"/>
      <c r="K798" s="102"/>
      <c r="L798" s="102"/>
      <c r="M798" s="102"/>
      <c r="N798" s="261"/>
      <c r="O798" s="102"/>
      <c r="P798" s="102"/>
      <c r="Q798" s="102"/>
    </row>
    <row r="799" spans="4:17" x14ac:dyDescent="0.25">
      <c r="D799" s="102"/>
      <c r="E799" s="260"/>
      <c r="F799" s="102"/>
      <c r="G799" s="102"/>
      <c r="H799" s="102"/>
      <c r="I799" s="102"/>
      <c r="J799" s="102"/>
      <c r="K799" s="102"/>
      <c r="L799" s="102"/>
      <c r="M799" s="102"/>
      <c r="N799" s="261"/>
      <c r="O799" s="102"/>
      <c r="P799" s="102"/>
      <c r="Q799" s="102"/>
    </row>
    <row r="800" spans="4:17" x14ac:dyDescent="0.25">
      <c r="D800" s="102"/>
      <c r="E800" s="260"/>
      <c r="F800" s="102"/>
      <c r="G800" s="102"/>
      <c r="H800" s="102"/>
      <c r="I800" s="102"/>
      <c r="J800" s="102"/>
      <c r="K800" s="102"/>
      <c r="L800" s="102"/>
      <c r="M800" s="102"/>
      <c r="N800" s="261"/>
      <c r="O800" s="102"/>
      <c r="P800" s="102"/>
      <c r="Q800" s="102"/>
    </row>
    <row r="801" spans="4:17" x14ac:dyDescent="0.25">
      <c r="D801" s="102"/>
      <c r="E801" s="260"/>
      <c r="F801" s="102"/>
      <c r="G801" s="102"/>
      <c r="H801" s="102"/>
      <c r="I801" s="102"/>
      <c r="J801" s="102"/>
      <c r="K801" s="102"/>
      <c r="L801" s="102"/>
      <c r="M801" s="102"/>
      <c r="N801" s="261"/>
      <c r="O801" s="102"/>
      <c r="P801" s="102"/>
      <c r="Q801" s="102"/>
    </row>
    <row r="802" spans="4:17" x14ac:dyDescent="0.25">
      <c r="D802" s="102"/>
      <c r="E802" s="260"/>
      <c r="F802" s="102"/>
      <c r="G802" s="102"/>
      <c r="H802" s="102"/>
      <c r="I802" s="102"/>
      <c r="J802" s="102"/>
      <c r="K802" s="102"/>
      <c r="L802" s="102"/>
      <c r="M802" s="102"/>
      <c r="N802" s="261"/>
      <c r="O802" s="102"/>
      <c r="P802" s="102"/>
      <c r="Q802" s="102"/>
    </row>
    <row r="803" spans="4:17" x14ac:dyDescent="0.25">
      <c r="D803" s="102"/>
      <c r="E803" s="260"/>
      <c r="F803" s="102"/>
      <c r="G803" s="102"/>
      <c r="H803" s="102"/>
      <c r="I803" s="102"/>
      <c r="J803" s="102"/>
      <c r="K803" s="102"/>
      <c r="L803" s="102"/>
      <c r="M803" s="102"/>
      <c r="N803" s="261"/>
      <c r="O803" s="102"/>
      <c r="P803" s="102"/>
      <c r="Q803" s="102"/>
    </row>
    <row r="804" spans="4:17" x14ac:dyDescent="0.25">
      <c r="D804" s="102"/>
      <c r="E804" s="260"/>
      <c r="F804" s="102"/>
      <c r="G804" s="102"/>
      <c r="H804" s="102"/>
      <c r="I804" s="102"/>
      <c r="J804" s="102"/>
      <c r="K804" s="102"/>
      <c r="L804" s="102"/>
      <c r="M804" s="102"/>
      <c r="N804" s="261"/>
      <c r="O804" s="102"/>
      <c r="P804" s="102"/>
      <c r="Q804" s="102"/>
    </row>
    <row r="805" spans="4:17" x14ac:dyDescent="0.25">
      <c r="D805" s="102"/>
      <c r="E805" s="260"/>
      <c r="F805" s="102"/>
      <c r="G805" s="102"/>
      <c r="H805" s="102"/>
      <c r="I805" s="102"/>
      <c r="J805" s="102"/>
      <c r="K805" s="102"/>
      <c r="L805" s="102"/>
      <c r="M805" s="102"/>
      <c r="N805" s="261"/>
      <c r="O805" s="102"/>
      <c r="P805" s="102"/>
      <c r="Q805" s="102"/>
    </row>
    <row r="806" spans="4:17" x14ac:dyDescent="0.25">
      <c r="D806" s="102"/>
      <c r="E806" s="260"/>
      <c r="F806" s="102"/>
      <c r="G806" s="102"/>
      <c r="H806" s="102"/>
      <c r="I806" s="102"/>
      <c r="J806" s="102"/>
      <c r="K806" s="102"/>
      <c r="L806" s="102"/>
      <c r="M806" s="102"/>
      <c r="N806" s="261"/>
      <c r="O806" s="102"/>
      <c r="P806" s="102"/>
      <c r="Q806" s="102"/>
    </row>
    <row r="807" spans="4:17" x14ac:dyDescent="0.25">
      <c r="D807" s="102"/>
      <c r="E807" s="260"/>
      <c r="F807" s="102"/>
      <c r="G807" s="102"/>
      <c r="H807" s="102"/>
      <c r="I807" s="102"/>
      <c r="J807" s="102"/>
      <c r="K807" s="102"/>
      <c r="L807" s="102"/>
      <c r="M807" s="102"/>
      <c r="N807" s="261"/>
      <c r="O807" s="102"/>
      <c r="P807" s="102"/>
      <c r="Q807" s="102"/>
    </row>
    <row r="808" spans="4:17" x14ac:dyDescent="0.25">
      <c r="D808" s="102"/>
      <c r="E808" s="260"/>
      <c r="F808" s="102"/>
      <c r="G808" s="102"/>
      <c r="H808" s="102"/>
      <c r="I808" s="102"/>
      <c r="J808" s="102"/>
      <c r="K808" s="102"/>
      <c r="L808" s="102"/>
      <c r="M808" s="102"/>
      <c r="N808" s="261"/>
      <c r="O808" s="102"/>
      <c r="P808" s="102"/>
      <c r="Q808" s="102"/>
    </row>
    <row r="809" spans="4:17" x14ac:dyDescent="0.25">
      <c r="D809" s="102"/>
      <c r="E809" s="260"/>
      <c r="F809" s="102"/>
      <c r="G809" s="102"/>
      <c r="H809" s="102"/>
      <c r="I809" s="102"/>
      <c r="J809" s="102"/>
      <c r="K809" s="102"/>
      <c r="L809" s="102"/>
      <c r="M809" s="102"/>
      <c r="N809" s="261"/>
      <c r="O809" s="102"/>
      <c r="P809" s="102"/>
      <c r="Q809" s="102"/>
    </row>
    <row r="810" spans="4:17" x14ac:dyDescent="0.25">
      <c r="D810" s="102"/>
      <c r="E810" s="260"/>
      <c r="F810" s="102"/>
      <c r="G810" s="102"/>
      <c r="H810" s="102"/>
      <c r="I810" s="102"/>
      <c r="J810" s="102"/>
      <c r="K810" s="102"/>
      <c r="L810" s="102"/>
      <c r="M810" s="102"/>
      <c r="N810" s="261"/>
      <c r="O810" s="102"/>
      <c r="P810" s="102"/>
      <c r="Q810" s="102"/>
    </row>
    <row r="811" spans="4:17" x14ac:dyDescent="0.25">
      <c r="D811" s="102"/>
      <c r="E811" s="260"/>
      <c r="F811" s="102"/>
      <c r="G811" s="102"/>
      <c r="H811" s="102"/>
      <c r="I811" s="102"/>
      <c r="J811" s="102"/>
      <c r="K811" s="102"/>
      <c r="L811" s="102"/>
      <c r="M811" s="102"/>
      <c r="N811" s="261"/>
      <c r="O811" s="102"/>
      <c r="P811" s="102"/>
      <c r="Q811" s="102"/>
    </row>
    <row r="812" spans="4:17" x14ac:dyDescent="0.25">
      <c r="D812" s="102"/>
      <c r="E812" s="260"/>
      <c r="F812" s="102"/>
      <c r="G812" s="102"/>
      <c r="H812" s="102"/>
      <c r="I812" s="102"/>
      <c r="J812" s="102"/>
      <c r="K812" s="102"/>
      <c r="L812" s="102"/>
      <c r="M812" s="102"/>
      <c r="N812" s="261"/>
      <c r="O812" s="102"/>
      <c r="P812" s="102"/>
      <c r="Q812" s="102"/>
    </row>
    <row r="813" spans="4:17" x14ac:dyDescent="0.25">
      <c r="D813" s="102"/>
      <c r="E813" s="260"/>
      <c r="F813" s="102"/>
      <c r="G813" s="102"/>
      <c r="H813" s="102"/>
      <c r="I813" s="102"/>
      <c r="J813" s="102"/>
      <c r="K813" s="102"/>
      <c r="L813" s="102"/>
      <c r="M813" s="102"/>
      <c r="N813" s="261"/>
      <c r="O813" s="102"/>
      <c r="P813" s="102"/>
      <c r="Q813" s="102"/>
    </row>
    <row r="814" spans="4:17" x14ac:dyDescent="0.25">
      <c r="D814" s="102"/>
      <c r="E814" s="260"/>
      <c r="F814" s="102"/>
      <c r="G814" s="102"/>
      <c r="H814" s="102"/>
      <c r="I814" s="102"/>
      <c r="J814" s="102"/>
      <c r="K814" s="102"/>
      <c r="L814" s="102"/>
      <c r="M814" s="102"/>
      <c r="N814" s="261"/>
      <c r="O814" s="102"/>
      <c r="P814" s="102"/>
      <c r="Q814" s="102"/>
    </row>
    <row r="815" spans="4:17" x14ac:dyDescent="0.25">
      <c r="D815" s="102"/>
      <c r="E815" s="260"/>
      <c r="F815" s="102"/>
      <c r="G815" s="102"/>
      <c r="H815" s="102"/>
      <c r="I815" s="102"/>
      <c r="J815" s="102"/>
      <c r="K815" s="102"/>
      <c r="L815" s="102"/>
      <c r="M815" s="102"/>
      <c r="N815" s="261"/>
      <c r="O815" s="102"/>
      <c r="P815" s="102"/>
      <c r="Q815" s="102"/>
    </row>
    <row r="816" spans="4:17" x14ac:dyDescent="0.25">
      <c r="D816" s="102"/>
      <c r="E816" s="260"/>
      <c r="F816" s="102"/>
      <c r="G816" s="102"/>
      <c r="H816" s="102"/>
      <c r="I816" s="102"/>
      <c r="J816" s="102"/>
      <c r="K816" s="102"/>
      <c r="L816" s="102"/>
      <c r="M816" s="102"/>
      <c r="N816" s="261"/>
      <c r="O816" s="102"/>
      <c r="P816" s="102"/>
      <c r="Q816" s="102"/>
    </row>
    <row r="817" spans="4:17" x14ac:dyDescent="0.25">
      <c r="D817" s="102"/>
      <c r="E817" s="260"/>
      <c r="F817" s="102"/>
      <c r="G817" s="102"/>
      <c r="H817" s="102"/>
      <c r="I817" s="102"/>
      <c r="J817" s="102"/>
      <c r="K817" s="102"/>
      <c r="L817" s="102"/>
      <c r="M817" s="102"/>
      <c r="N817" s="261"/>
      <c r="O817" s="102"/>
      <c r="P817" s="102"/>
      <c r="Q817" s="102"/>
    </row>
    <row r="818" spans="4:17" x14ac:dyDescent="0.25">
      <c r="D818" s="102"/>
      <c r="E818" s="260"/>
      <c r="F818" s="102"/>
      <c r="G818" s="102"/>
      <c r="H818" s="102"/>
      <c r="I818" s="102"/>
      <c r="J818" s="102"/>
      <c r="K818" s="102"/>
      <c r="L818" s="102"/>
      <c r="M818" s="102"/>
      <c r="N818" s="261"/>
      <c r="O818" s="102"/>
      <c r="P818" s="102"/>
      <c r="Q818" s="102"/>
    </row>
    <row r="819" spans="4:17" x14ac:dyDescent="0.25">
      <c r="D819" s="102"/>
      <c r="E819" s="260"/>
      <c r="F819" s="102"/>
      <c r="G819" s="102"/>
      <c r="H819" s="102"/>
      <c r="I819" s="102"/>
      <c r="J819" s="102"/>
      <c r="K819" s="102"/>
      <c r="L819" s="102"/>
      <c r="M819" s="102"/>
      <c r="N819" s="261"/>
      <c r="O819" s="102"/>
      <c r="P819" s="102"/>
      <c r="Q819" s="102"/>
    </row>
    <row r="820" spans="4:17" x14ac:dyDescent="0.25">
      <c r="D820" s="102"/>
      <c r="E820" s="260"/>
      <c r="F820" s="102"/>
      <c r="G820" s="102"/>
      <c r="H820" s="102"/>
      <c r="I820" s="102"/>
      <c r="J820" s="102"/>
      <c r="K820" s="102"/>
      <c r="L820" s="102"/>
      <c r="M820" s="102"/>
      <c r="N820" s="261"/>
      <c r="O820" s="102"/>
      <c r="P820" s="102"/>
      <c r="Q820" s="102"/>
    </row>
    <row r="821" spans="4:17" x14ac:dyDescent="0.25">
      <c r="D821" s="102"/>
      <c r="E821" s="260"/>
      <c r="F821" s="102"/>
      <c r="G821" s="102"/>
      <c r="H821" s="102"/>
      <c r="I821" s="102"/>
      <c r="J821" s="102"/>
      <c r="K821" s="102"/>
      <c r="L821" s="102"/>
      <c r="M821" s="102"/>
      <c r="N821" s="261"/>
      <c r="O821" s="102"/>
      <c r="P821" s="102"/>
      <c r="Q821" s="102"/>
    </row>
    <row r="822" spans="4:17" x14ac:dyDescent="0.25">
      <c r="D822" s="102"/>
      <c r="E822" s="260"/>
      <c r="F822" s="102"/>
      <c r="G822" s="102"/>
      <c r="H822" s="102"/>
      <c r="I822" s="102"/>
      <c r="J822" s="102"/>
      <c r="K822" s="102"/>
      <c r="L822" s="102"/>
      <c r="M822" s="102"/>
      <c r="N822" s="261"/>
      <c r="O822" s="102"/>
      <c r="P822" s="102"/>
      <c r="Q822" s="102"/>
    </row>
    <row r="823" spans="4:17" x14ac:dyDescent="0.25">
      <c r="D823" s="102"/>
      <c r="E823" s="260"/>
      <c r="F823" s="102"/>
      <c r="G823" s="102"/>
      <c r="H823" s="102"/>
      <c r="I823" s="102"/>
      <c r="J823" s="102"/>
      <c r="K823" s="102"/>
      <c r="L823" s="102"/>
      <c r="M823" s="102"/>
      <c r="N823" s="261"/>
      <c r="O823" s="102"/>
      <c r="P823" s="102"/>
      <c r="Q823" s="102"/>
    </row>
    <row r="824" spans="4:17" x14ac:dyDescent="0.25">
      <c r="D824" s="102"/>
      <c r="E824" s="260"/>
      <c r="F824" s="102"/>
      <c r="G824" s="102"/>
      <c r="H824" s="102"/>
      <c r="I824" s="102"/>
      <c r="J824" s="102"/>
      <c r="K824" s="102"/>
      <c r="L824" s="102"/>
      <c r="M824" s="102"/>
      <c r="N824" s="261"/>
      <c r="O824" s="102"/>
      <c r="P824" s="102"/>
      <c r="Q824" s="102"/>
    </row>
    <row r="825" spans="4:17" x14ac:dyDescent="0.25">
      <c r="D825" s="102"/>
      <c r="E825" s="260"/>
      <c r="F825" s="102"/>
      <c r="G825" s="102"/>
      <c r="H825" s="102"/>
      <c r="I825" s="102"/>
      <c r="J825" s="102"/>
      <c r="K825" s="102"/>
      <c r="L825" s="102"/>
      <c r="M825" s="102"/>
      <c r="N825" s="261"/>
      <c r="O825" s="102"/>
      <c r="P825" s="102"/>
      <c r="Q825" s="102"/>
    </row>
    <row r="826" spans="4:17" x14ac:dyDescent="0.25">
      <c r="D826" s="102"/>
      <c r="E826" s="260"/>
      <c r="F826" s="102"/>
      <c r="G826" s="102"/>
      <c r="H826" s="102"/>
      <c r="I826" s="102"/>
      <c r="J826" s="102"/>
      <c r="K826" s="102"/>
      <c r="L826" s="102"/>
      <c r="M826" s="102"/>
      <c r="N826" s="261"/>
      <c r="O826" s="102"/>
      <c r="P826" s="102"/>
      <c r="Q826" s="102"/>
    </row>
    <row r="827" spans="4:17" x14ac:dyDescent="0.25">
      <c r="D827" s="102"/>
      <c r="E827" s="260"/>
      <c r="F827" s="102"/>
      <c r="G827" s="102"/>
      <c r="H827" s="102"/>
      <c r="I827" s="102"/>
      <c r="J827" s="102"/>
      <c r="K827" s="102"/>
      <c r="L827" s="102"/>
      <c r="M827" s="102"/>
      <c r="N827" s="261"/>
      <c r="O827" s="102"/>
      <c r="P827" s="102"/>
      <c r="Q827" s="102"/>
    </row>
    <row r="828" spans="4:17" x14ac:dyDescent="0.25">
      <c r="D828" s="102"/>
      <c r="E828" s="260"/>
      <c r="F828" s="102"/>
      <c r="G828" s="102"/>
      <c r="H828" s="102"/>
      <c r="I828" s="102"/>
      <c r="J828" s="102"/>
      <c r="K828" s="102"/>
      <c r="L828" s="102"/>
      <c r="M828" s="102"/>
      <c r="N828" s="261"/>
      <c r="O828" s="102"/>
      <c r="P828" s="102"/>
      <c r="Q828" s="102"/>
    </row>
    <row r="829" spans="4:17" x14ac:dyDescent="0.25">
      <c r="D829" s="102"/>
      <c r="E829" s="260"/>
      <c r="F829" s="102"/>
      <c r="G829" s="102"/>
      <c r="H829" s="102"/>
      <c r="I829" s="102"/>
      <c r="J829" s="102"/>
      <c r="K829" s="102"/>
      <c r="L829" s="102"/>
      <c r="M829" s="102"/>
      <c r="N829" s="261"/>
      <c r="O829" s="102"/>
      <c r="P829" s="102"/>
      <c r="Q829" s="102"/>
    </row>
    <row r="830" spans="4:17" x14ac:dyDescent="0.25">
      <c r="D830" s="102"/>
      <c r="E830" s="260"/>
      <c r="F830" s="102"/>
      <c r="G830" s="102"/>
      <c r="H830" s="102"/>
      <c r="I830" s="102"/>
      <c r="J830" s="102"/>
      <c r="K830" s="102"/>
      <c r="L830" s="102"/>
      <c r="M830" s="102"/>
      <c r="N830" s="261"/>
      <c r="O830" s="102"/>
      <c r="P830" s="102"/>
      <c r="Q830" s="102"/>
    </row>
    <row r="831" spans="4:17" x14ac:dyDescent="0.25">
      <c r="D831" s="102"/>
      <c r="E831" s="260"/>
      <c r="F831" s="102"/>
      <c r="G831" s="102"/>
      <c r="H831" s="102"/>
      <c r="I831" s="102"/>
      <c r="J831" s="102"/>
      <c r="K831" s="102"/>
      <c r="L831" s="102"/>
      <c r="M831" s="102"/>
      <c r="N831" s="261"/>
      <c r="O831" s="102"/>
      <c r="P831" s="102"/>
      <c r="Q831" s="102"/>
    </row>
    <row r="832" spans="4:17" x14ac:dyDescent="0.25">
      <c r="D832" s="102"/>
      <c r="E832" s="260"/>
      <c r="F832" s="102"/>
      <c r="G832" s="102"/>
      <c r="H832" s="102"/>
      <c r="I832" s="102"/>
      <c r="J832" s="102"/>
      <c r="K832" s="102"/>
      <c r="L832" s="102"/>
      <c r="M832" s="102"/>
      <c r="N832" s="261"/>
      <c r="O832" s="102"/>
      <c r="P832" s="102"/>
      <c r="Q832" s="102"/>
    </row>
    <row r="833" spans="4:17" x14ac:dyDescent="0.25">
      <c r="D833" s="102"/>
      <c r="E833" s="260"/>
      <c r="F833" s="102"/>
      <c r="G833" s="102"/>
      <c r="H833" s="102"/>
      <c r="I833" s="102"/>
      <c r="J833" s="102"/>
      <c r="K833" s="102"/>
      <c r="L833" s="102"/>
      <c r="M833" s="102"/>
      <c r="N833" s="261"/>
      <c r="O833" s="102"/>
      <c r="P833" s="102"/>
      <c r="Q833" s="102"/>
    </row>
    <row r="834" spans="4:17" x14ac:dyDescent="0.25">
      <c r="D834" s="102"/>
      <c r="E834" s="260"/>
      <c r="F834" s="102"/>
      <c r="G834" s="102"/>
      <c r="H834" s="102"/>
      <c r="I834" s="102"/>
      <c r="J834" s="102"/>
      <c r="K834" s="102"/>
      <c r="L834" s="102"/>
      <c r="M834" s="102"/>
      <c r="N834" s="261"/>
      <c r="O834" s="102"/>
      <c r="P834" s="102"/>
      <c r="Q834" s="102"/>
    </row>
    <row r="835" spans="4:17" x14ac:dyDescent="0.25">
      <c r="D835" s="102"/>
      <c r="E835" s="260"/>
      <c r="F835" s="102"/>
      <c r="G835" s="102"/>
      <c r="H835" s="102"/>
      <c r="I835" s="102"/>
      <c r="J835" s="102"/>
      <c r="K835" s="102"/>
      <c r="L835" s="102"/>
      <c r="M835" s="102"/>
      <c r="N835" s="261"/>
      <c r="O835" s="102"/>
      <c r="P835" s="102"/>
      <c r="Q835" s="102"/>
    </row>
    <row r="836" spans="4:17" x14ac:dyDescent="0.25">
      <c r="D836" s="102"/>
      <c r="E836" s="260"/>
      <c r="F836" s="102"/>
      <c r="G836" s="102"/>
      <c r="H836" s="102"/>
      <c r="I836" s="102"/>
      <c r="J836" s="102"/>
      <c r="K836" s="102"/>
      <c r="L836" s="102"/>
      <c r="M836" s="102"/>
      <c r="N836" s="261"/>
      <c r="O836" s="102"/>
      <c r="P836" s="102"/>
      <c r="Q836" s="102"/>
    </row>
    <row r="837" spans="4:17" x14ac:dyDescent="0.25">
      <c r="D837" s="102"/>
      <c r="E837" s="260"/>
      <c r="F837" s="102"/>
      <c r="G837" s="102"/>
      <c r="H837" s="102"/>
      <c r="I837" s="102"/>
      <c r="J837" s="102"/>
      <c r="K837" s="102"/>
      <c r="L837" s="102"/>
      <c r="M837" s="102"/>
      <c r="N837" s="261"/>
      <c r="O837" s="102"/>
      <c r="P837" s="102"/>
      <c r="Q837" s="102"/>
    </row>
    <row r="838" spans="4:17" x14ac:dyDescent="0.25">
      <c r="D838" s="102"/>
      <c r="E838" s="260"/>
      <c r="F838" s="102"/>
      <c r="G838" s="102"/>
      <c r="H838" s="102"/>
      <c r="I838" s="102"/>
      <c r="J838" s="102"/>
      <c r="K838" s="102"/>
      <c r="L838" s="102"/>
      <c r="M838" s="102"/>
      <c r="N838" s="261"/>
      <c r="O838" s="102"/>
      <c r="P838" s="102"/>
      <c r="Q838" s="102"/>
    </row>
    <row r="839" spans="4:17" x14ac:dyDescent="0.25">
      <c r="D839" s="102"/>
      <c r="E839" s="260"/>
      <c r="F839" s="102"/>
      <c r="G839" s="102"/>
      <c r="H839" s="102"/>
      <c r="I839" s="102"/>
      <c r="J839" s="102"/>
      <c r="K839" s="102"/>
      <c r="L839" s="102"/>
      <c r="M839" s="102"/>
      <c r="N839" s="261"/>
      <c r="O839" s="102"/>
      <c r="P839" s="102"/>
      <c r="Q839" s="102"/>
    </row>
    <row r="840" spans="4:17" x14ac:dyDescent="0.25">
      <c r="D840" s="102"/>
      <c r="E840" s="260"/>
      <c r="F840" s="102"/>
      <c r="G840" s="102"/>
      <c r="H840" s="102"/>
      <c r="I840" s="102"/>
      <c r="J840" s="102"/>
      <c r="K840" s="102"/>
      <c r="L840" s="102"/>
      <c r="M840" s="102"/>
      <c r="N840" s="261"/>
      <c r="O840" s="102"/>
      <c r="P840" s="102"/>
      <c r="Q840" s="102"/>
    </row>
    <row r="841" spans="4:17" x14ac:dyDescent="0.25">
      <c r="D841" s="102"/>
      <c r="E841" s="260"/>
      <c r="F841" s="102"/>
      <c r="G841" s="102"/>
      <c r="H841" s="102"/>
      <c r="I841" s="102"/>
      <c r="J841" s="102"/>
      <c r="K841" s="102"/>
      <c r="L841" s="102"/>
      <c r="M841" s="102"/>
      <c r="N841" s="261"/>
      <c r="O841" s="102"/>
      <c r="P841" s="102"/>
      <c r="Q841" s="102"/>
    </row>
    <row r="842" spans="4:17" x14ac:dyDescent="0.25">
      <c r="D842" s="102"/>
      <c r="E842" s="260"/>
      <c r="F842" s="102"/>
      <c r="G842" s="102"/>
      <c r="H842" s="102"/>
      <c r="I842" s="102"/>
      <c r="J842" s="102"/>
      <c r="K842" s="102"/>
      <c r="L842" s="102"/>
      <c r="M842" s="102"/>
      <c r="N842" s="261"/>
      <c r="O842" s="102"/>
      <c r="P842" s="102"/>
      <c r="Q842" s="102"/>
    </row>
    <row r="843" spans="4:17" x14ac:dyDescent="0.25">
      <c r="D843" s="102"/>
      <c r="E843" s="260"/>
      <c r="F843" s="102"/>
      <c r="G843" s="102"/>
      <c r="H843" s="102"/>
      <c r="I843" s="102"/>
      <c r="J843" s="102"/>
      <c r="K843" s="102"/>
      <c r="L843" s="102"/>
      <c r="M843" s="102"/>
      <c r="N843" s="261"/>
      <c r="O843" s="102"/>
      <c r="P843" s="102"/>
      <c r="Q843" s="102"/>
    </row>
    <row r="844" spans="4:17" x14ac:dyDescent="0.25">
      <c r="D844" s="102"/>
      <c r="E844" s="260"/>
      <c r="F844" s="102"/>
      <c r="G844" s="102"/>
      <c r="H844" s="102"/>
      <c r="I844" s="102"/>
      <c r="J844" s="102"/>
      <c r="K844" s="102"/>
      <c r="L844" s="102"/>
      <c r="M844" s="102"/>
      <c r="N844" s="261"/>
      <c r="O844" s="102"/>
      <c r="P844" s="102"/>
      <c r="Q844" s="102"/>
    </row>
    <row r="845" spans="4:17" x14ac:dyDescent="0.25">
      <c r="D845" s="102"/>
      <c r="E845" s="260"/>
      <c r="F845" s="102"/>
      <c r="G845" s="102"/>
      <c r="H845" s="102"/>
      <c r="I845" s="102"/>
      <c r="J845" s="102"/>
      <c r="K845" s="102"/>
      <c r="L845" s="102"/>
      <c r="M845" s="102"/>
      <c r="N845" s="261"/>
      <c r="O845" s="102"/>
      <c r="P845" s="102"/>
      <c r="Q845" s="102"/>
    </row>
    <row r="846" spans="4:17" x14ac:dyDescent="0.25">
      <c r="D846" s="102"/>
      <c r="E846" s="260"/>
      <c r="F846" s="102"/>
      <c r="G846" s="102"/>
      <c r="H846" s="102"/>
      <c r="I846" s="102"/>
      <c r="J846" s="102"/>
      <c r="K846" s="102"/>
      <c r="L846" s="102"/>
      <c r="M846" s="102"/>
      <c r="N846" s="261"/>
      <c r="O846" s="102"/>
      <c r="P846" s="102"/>
      <c r="Q846" s="102"/>
    </row>
    <row r="847" spans="4:17" x14ac:dyDescent="0.25">
      <c r="D847" s="102"/>
      <c r="E847" s="260"/>
      <c r="F847" s="102"/>
      <c r="G847" s="102"/>
      <c r="H847" s="102"/>
      <c r="I847" s="102"/>
      <c r="J847" s="102"/>
      <c r="K847" s="102"/>
      <c r="L847" s="102"/>
      <c r="M847" s="102"/>
      <c r="N847" s="261"/>
      <c r="O847" s="102"/>
      <c r="P847" s="102"/>
      <c r="Q847" s="102"/>
    </row>
    <row r="848" spans="4:17" x14ac:dyDescent="0.25">
      <c r="D848" s="102"/>
      <c r="E848" s="260"/>
      <c r="F848" s="102"/>
      <c r="G848" s="102"/>
      <c r="H848" s="102"/>
      <c r="I848" s="102"/>
      <c r="J848" s="102"/>
      <c r="K848" s="102"/>
      <c r="L848" s="102"/>
      <c r="M848" s="102"/>
      <c r="N848" s="261"/>
      <c r="O848" s="102"/>
      <c r="P848" s="102"/>
      <c r="Q848" s="102"/>
    </row>
    <row r="849" spans="4:17" x14ac:dyDescent="0.25">
      <c r="D849" s="102"/>
      <c r="E849" s="260"/>
      <c r="F849" s="102"/>
      <c r="G849" s="102"/>
      <c r="H849" s="102"/>
      <c r="I849" s="102"/>
      <c r="J849" s="102"/>
      <c r="K849" s="102"/>
      <c r="L849" s="102"/>
      <c r="M849" s="102"/>
      <c r="N849" s="261"/>
      <c r="O849" s="102"/>
      <c r="P849" s="102"/>
      <c r="Q849" s="102"/>
    </row>
    <row r="850" spans="4:17" x14ac:dyDescent="0.25">
      <c r="D850" s="102"/>
      <c r="E850" s="260"/>
      <c r="F850" s="102"/>
      <c r="G850" s="102"/>
      <c r="H850" s="102"/>
      <c r="I850" s="102"/>
      <c r="J850" s="102"/>
      <c r="K850" s="102"/>
      <c r="L850" s="102"/>
      <c r="M850" s="102"/>
      <c r="N850" s="261"/>
      <c r="O850" s="102"/>
      <c r="P850" s="102"/>
      <c r="Q850" s="102"/>
    </row>
    <row r="851" spans="4:17" x14ac:dyDescent="0.25">
      <c r="D851" s="102"/>
      <c r="E851" s="260"/>
      <c r="F851" s="102"/>
      <c r="G851" s="102"/>
      <c r="H851" s="102"/>
      <c r="I851" s="102"/>
      <c r="J851" s="102"/>
      <c r="K851" s="102"/>
      <c r="L851" s="102"/>
      <c r="M851" s="102"/>
      <c r="N851" s="261"/>
      <c r="O851" s="102"/>
      <c r="P851" s="102"/>
      <c r="Q851" s="102"/>
    </row>
    <row r="852" spans="4:17" x14ac:dyDescent="0.25">
      <c r="D852" s="102"/>
      <c r="E852" s="260"/>
      <c r="F852" s="102"/>
      <c r="G852" s="102"/>
      <c r="H852" s="102"/>
      <c r="I852" s="102"/>
      <c r="J852" s="102"/>
      <c r="K852" s="102"/>
      <c r="L852" s="102"/>
      <c r="M852" s="102"/>
      <c r="N852" s="261"/>
      <c r="O852" s="102"/>
      <c r="P852" s="102"/>
      <c r="Q852" s="102"/>
    </row>
    <row r="853" spans="4:17" x14ac:dyDescent="0.25">
      <c r="D853" s="102"/>
      <c r="E853" s="260"/>
      <c r="F853" s="102"/>
      <c r="G853" s="102"/>
      <c r="H853" s="102"/>
      <c r="I853" s="102"/>
      <c r="J853" s="102"/>
      <c r="K853" s="102"/>
      <c r="L853" s="102"/>
      <c r="M853" s="102"/>
      <c r="N853" s="261"/>
      <c r="O853" s="102"/>
      <c r="P853" s="102"/>
      <c r="Q853" s="102"/>
    </row>
    <row r="854" spans="4:17" x14ac:dyDescent="0.25">
      <c r="D854" s="102"/>
      <c r="E854" s="260"/>
      <c r="F854" s="102"/>
      <c r="G854" s="102"/>
      <c r="H854" s="102"/>
      <c r="I854" s="102"/>
      <c r="J854" s="102"/>
      <c r="K854" s="102"/>
      <c r="L854" s="102"/>
      <c r="M854" s="102"/>
      <c r="N854" s="261"/>
      <c r="O854" s="102"/>
      <c r="P854" s="102"/>
      <c r="Q854" s="102"/>
    </row>
    <row r="855" spans="4:17" x14ac:dyDescent="0.25">
      <c r="D855" s="102"/>
      <c r="E855" s="260"/>
      <c r="F855" s="102"/>
      <c r="G855" s="102"/>
      <c r="H855" s="102"/>
      <c r="I855" s="102"/>
      <c r="J855" s="102"/>
      <c r="K855" s="102"/>
      <c r="L855" s="102"/>
      <c r="M855" s="102"/>
      <c r="N855" s="261"/>
      <c r="O855" s="102"/>
      <c r="P855" s="102"/>
      <c r="Q855" s="102"/>
    </row>
    <row r="856" spans="4:17" x14ac:dyDescent="0.25">
      <c r="D856" s="102"/>
      <c r="E856" s="260"/>
      <c r="F856" s="102"/>
      <c r="G856" s="102"/>
      <c r="H856" s="102"/>
      <c r="I856" s="102"/>
      <c r="J856" s="102"/>
      <c r="K856" s="102"/>
      <c r="L856" s="102"/>
      <c r="M856" s="102"/>
      <c r="N856" s="261"/>
      <c r="O856" s="102"/>
      <c r="P856" s="102"/>
      <c r="Q856" s="102"/>
    </row>
    <row r="857" spans="4:17" x14ac:dyDescent="0.25">
      <c r="D857" s="102"/>
      <c r="E857" s="260"/>
      <c r="F857" s="102"/>
      <c r="G857" s="102"/>
      <c r="H857" s="102"/>
      <c r="I857" s="102"/>
      <c r="J857" s="102"/>
      <c r="K857" s="102"/>
      <c r="L857" s="102"/>
      <c r="M857" s="102"/>
      <c r="N857" s="261"/>
      <c r="O857" s="102"/>
      <c r="P857" s="102"/>
      <c r="Q857" s="102"/>
    </row>
    <row r="858" spans="4:17" x14ac:dyDescent="0.25">
      <c r="D858" s="102"/>
      <c r="E858" s="260"/>
      <c r="F858" s="102"/>
      <c r="G858" s="102"/>
      <c r="H858" s="102"/>
      <c r="I858" s="102"/>
      <c r="J858" s="102"/>
      <c r="K858" s="102"/>
      <c r="L858" s="102"/>
      <c r="M858" s="102"/>
      <c r="N858" s="261"/>
      <c r="O858" s="102"/>
      <c r="P858" s="102"/>
      <c r="Q858" s="102"/>
    </row>
    <row r="859" spans="4:17" x14ac:dyDescent="0.25">
      <c r="D859" s="102"/>
      <c r="E859" s="260"/>
      <c r="F859" s="102"/>
      <c r="G859" s="102"/>
      <c r="H859" s="102"/>
      <c r="I859" s="102"/>
      <c r="J859" s="102"/>
      <c r="K859" s="102"/>
      <c r="L859" s="102"/>
      <c r="M859" s="102"/>
      <c r="N859" s="261"/>
      <c r="O859" s="102"/>
      <c r="P859" s="102"/>
      <c r="Q859" s="102"/>
    </row>
    <row r="860" spans="4:17" x14ac:dyDescent="0.25">
      <c r="D860" s="102"/>
      <c r="E860" s="260"/>
      <c r="F860" s="102"/>
      <c r="G860" s="102"/>
      <c r="H860" s="102"/>
      <c r="I860" s="102"/>
      <c r="J860" s="102"/>
      <c r="K860" s="102"/>
      <c r="L860" s="102"/>
      <c r="M860" s="102"/>
      <c r="N860" s="261"/>
      <c r="O860" s="102"/>
      <c r="P860" s="102"/>
      <c r="Q860" s="102"/>
    </row>
    <row r="861" spans="4:17" x14ac:dyDescent="0.25">
      <c r="D861" s="102"/>
      <c r="E861" s="260"/>
      <c r="F861" s="102"/>
      <c r="G861" s="102"/>
      <c r="H861" s="102"/>
      <c r="I861" s="102"/>
      <c r="J861" s="102"/>
      <c r="K861" s="102"/>
      <c r="L861" s="102"/>
      <c r="M861" s="102"/>
      <c r="N861" s="261"/>
      <c r="O861" s="102"/>
      <c r="P861" s="102"/>
      <c r="Q861" s="102"/>
    </row>
    <row r="862" spans="4:17" x14ac:dyDescent="0.25">
      <c r="D862" s="102"/>
      <c r="E862" s="260"/>
      <c r="F862" s="102"/>
      <c r="G862" s="102"/>
      <c r="H862" s="102"/>
      <c r="I862" s="102"/>
      <c r="J862" s="102"/>
      <c r="K862" s="102"/>
      <c r="L862" s="102"/>
      <c r="M862" s="102"/>
      <c r="N862" s="261"/>
      <c r="O862" s="102"/>
      <c r="P862" s="102"/>
      <c r="Q862" s="102"/>
    </row>
    <row r="863" spans="4:17" x14ac:dyDescent="0.25">
      <c r="D863" s="102"/>
      <c r="E863" s="260"/>
      <c r="F863" s="102"/>
      <c r="G863" s="102"/>
      <c r="H863" s="102"/>
      <c r="I863" s="102"/>
      <c r="J863" s="102"/>
      <c r="K863" s="102"/>
      <c r="L863" s="102"/>
      <c r="M863" s="102"/>
      <c r="N863" s="261"/>
      <c r="O863" s="102"/>
      <c r="P863" s="102"/>
      <c r="Q863" s="102"/>
    </row>
    <row r="864" spans="4:17" x14ac:dyDescent="0.25">
      <c r="D864" s="102"/>
      <c r="E864" s="260"/>
      <c r="F864" s="102"/>
      <c r="G864" s="102"/>
      <c r="H864" s="102"/>
      <c r="I864" s="102"/>
      <c r="J864" s="102"/>
      <c r="K864" s="102"/>
      <c r="L864" s="102"/>
      <c r="M864" s="102"/>
      <c r="N864" s="261"/>
      <c r="O864" s="102"/>
      <c r="P864" s="102"/>
      <c r="Q864" s="102"/>
    </row>
    <row r="865" spans="4:17" x14ac:dyDescent="0.25">
      <c r="D865" s="102"/>
      <c r="E865" s="260"/>
      <c r="F865" s="102"/>
      <c r="G865" s="102"/>
      <c r="H865" s="102"/>
      <c r="I865" s="102"/>
      <c r="J865" s="102"/>
      <c r="K865" s="102"/>
      <c r="L865" s="102"/>
      <c r="M865" s="102"/>
      <c r="N865" s="261"/>
      <c r="O865" s="102"/>
      <c r="P865" s="102"/>
      <c r="Q865" s="102"/>
    </row>
    <row r="866" spans="4:17" x14ac:dyDescent="0.25">
      <c r="D866" s="102"/>
      <c r="E866" s="260"/>
      <c r="F866" s="102"/>
      <c r="G866" s="102"/>
      <c r="H866" s="102"/>
      <c r="I866" s="102"/>
      <c r="J866" s="102"/>
      <c r="K866" s="102"/>
      <c r="L866" s="102"/>
      <c r="M866" s="102"/>
      <c r="N866" s="261"/>
      <c r="O866" s="102"/>
      <c r="P866" s="102"/>
      <c r="Q866" s="102"/>
    </row>
    <row r="867" spans="4:17" x14ac:dyDescent="0.25">
      <c r="D867" s="102"/>
      <c r="E867" s="260"/>
      <c r="F867" s="102"/>
      <c r="G867" s="102"/>
      <c r="H867" s="102"/>
      <c r="I867" s="102"/>
      <c r="J867" s="102"/>
      <c r="K867" s="102"/>
      <c r="L867" s="102"/>
      <c r="M867" s="102"/>
      <c r="N867" s="261"/>
      <c r="O867" s="102"/>
      <c r="P867" s="102"/>
      <c r="Q867" s="102"/>
    </row>
    <row r="868" spans="4:17" x14ac:dyDescent="0.25">
      <c r="D868" s="102"/>
      <c r="E868" s="260"/>
      <c r="F868" s="102"/>
      <c r="G868" s="102"/>
      <c r="H868" s="102"/>
      <c r="I868" s="102"/>
      <c r="J868" s="102"/>
      <c r="K868" s="102"/>
      <c r="L868" s="102"/>
      <c r="M868" s="102"/>
      <c r="N868" s="261"/>
      <c r="O868" s="102"/>
      <c r="P868" s="102"/>
      <c r="Q868" s="102"/>
    </row>
    <row r="869" spans="4:17" x14ac:dyDescent="0.25">
      <c r="D869" s="102"/>
      <c r="E869" s="260"/>
      <c r="F869" s="102"/>
      <c r="G869" s="102"/>
      <c r="H869" s="102"/>
      <c r="I869" s="102"/>
      <c r="J869" s="102"/>
      <c r="K869" s="102"/>
      <c r="L869" s="102"/>
      <c r="M869" s="102"/>
      <c r="N869" s="261"/>
      <c r="O869" s="102"/>
      <c r="P869" s="102"/>
      <c r="Q869" s="102"/>
    </row>
    <row r="870" spans="4:17" x14ac:dyDescent="0.25">
      <c r="D870" s="102"/>
      <c r="E870" s="260"/>
      <c r="F870" s="102"/>
      <c r="G870" s="102"/>
      <c r="H870" s="102"/>
      <c r="I870" s="102"/>
      <c r="J870" s="102"/>
      <c r="K870" s="102"/>
      <c r="L870" s="102"/>
      <c r="M870" s="102"/>
      <c r="N870" s="261"/>
      <c r="O870" s="102"/>
      <c r="P870" s="102"/>
      <c r="Q870" s="102"/>
    </row>
    <row r="871" spans="4:17" x14ac:dyDescent="0.25">
      <c r="D871" s="102"/>
      <c r="E871" s="260"/>
      <c r="F871" s="102"/>
      <c r="G871" s="102"/>
      <c r="H871" s="102"/>
      <c r="I871" s="102"/>
      <c r="J871" s="102"/>
      <c r="K871" s="102"/>
      <c r="L871" s="102"/>
      <c r="M871" s="102"/>
      <c r="N871" s="261"/>
      <c r="O871" s="102"/>
      <c r="P871" s="102"/>
      <c r="Q871" s="102"/>
    </row>
    <row r="872" spans="4:17" x14ac:dyDescent="0.25">
      <c r="D872" s="102"/>
      <c r="E872" s="260"/>
      <c r="F872" s="102"/>
      <c r="G872" s="102"/>
      <c r="H872" s="102"/>
      <c r="I872" s="102"/>
      <c r="J872" s="102"/>
      <c r="K872" s="102"/>
      <c r="L872" s="102"/>
      <c r="M872" s="102"/>
      <c r="N872" s="261"/>
      <c r="O872" s="102"/>
      <c r="P872" s="102"/>
      <c r="Q872" s="102"/>
    </row>
    <row r="873" spans="4:17" x14ac:dyDescent="0.25">
      <c r="D873" s="102"/>
      <c r="E873" s="260"/>
      <c r="F873" s="102"/>
      <c r="G873" s="102"/>
      <c r="H873" s="102"/>
      <c r="I873" s="102"/>
      <c r="J873" s="102"/>
      <c r="K873" s="102"/>
      <c r="L873" s="102"/>
      <c r="M873" s="102"/>
      <c r="N873" s="261"/>
      <c r="O873" s="102"/>
      <c r="P873" s="102"/>
      <c r="Q873" s="102"/>
    </row>
    <row r="874" spans="4:17" x14ac:dyDescent="0.25">
      <c r="D874" s="102"/>
      <c r="E874" s="260"/>
      <c r="F874" s="102"/>
      <c r="G874" s="102"/>
      <c r="H874" s="102"/>
      <c r="I874" s="102"/>
      <c r="J874" s="102"/>
      <c r="K874" s="102"/>
      <c r="L874" s="102"/>
      <c r="M874" s="102"/>
      <c r="N874" s="261"/>
      <c r="O874" s="102"/>
      <c r="P874" s="102"/>
      <c r="Q874" s="102"/>
    </row>
    <row r="875" spans="4:17" x14ac:dyDescent="0.25">
      <c r="D875" s="102"/>
      <c r="E875" s="260"/>
      <c r="F875" s="102"/>
      <c r="G875" s="102"/>
      <c r="H875" s="102"/>
      <c r="I875" s="102"/>
      <c r="J875" s="102"/>
      <c r="K875" s="102"/>
      <c r="L875" s="102"/>
      <c r="M875" s="102"/>
      <c r="N875" s="261"/>
      <c r="O875" s="102"/>
      <c r="P875" s="102"/>
      <c r="Q875" s="102"/>
    </row>
    <row r="876" spans="4:17" x14ac:dyDescent="0.25">
      <c r="D876" s="102"/>
      <c r="E876" s="260"/>
      <c r="F876" s="102"/>
      <c r="G876" s="102"/>
      <c r="H876" s="102"/>
      <c r="I876" s="102"/>
      <c r="J876" s="102"/>
      <c r="K876" s="102"/>
      <c r="L876" s="102"/>
      <c r="M876" s="102"/>
      <c r="N876" s="261"/>
      <c r="O876" s="102"/>
      <c r="P876" s="102"/>
      <c r="Q876" s="102"/>
    </row>
    <row r="877" spans="4:17" x14ac:dyDescent="0.25">
      <c r="D877" s="102"/>
      <c r="E877" s="260"/>
      <c r="F877" s="102"/>
      <c r="G877" s="102"/>
      <c r="H877" s="102"/>
      <c r="I877" s="102"/>
      <c r="J877" s="102"/>
      <c r="K877" s="102"/>
      <c r="L877" s="102"/>
      <c r="M877" s="102"/>
      <c r="N877" s="261"/>
      <c r="O877" s="102"/>
      <c r="P877" s="102"/>
      <c r="Q877" s="102"/>
    </row>
    <row r="878" spans="4:17" x14ac:dyDescent="0.25">
      <c r="D878" s="102"/>
      <c r="E878" s="260"/>
      <c r="F878" s="102"/>
      <c r="G878" s="102"/>
      <c r="H878" s="102"/>
      <c r="I878" s="102"/>
      <c r="J878" s="102"/>
      <c r="K878" s="102"/>
      <c r="L878" s="102"/>
      <c r="M878" s="102"/>
      <c r="N878" s="261"/>
      <c r="O878" s="102"/>
      <c r="P878" s="102"/>
      <c r="Q878" s="102"/>
    </row>
    <row r="879" spans="4:17" x14ac:dyDescent="0.25">
      <c r="D879" s="102"/>
      <c r="E879" s="260"/>
      <c r="F879" s="102"/>
      <c r="G879" s="102"/>
      <c r="H879" s="102"/>
      <c r="I879" s="102"/>
      <c r="J879" s="102"/>
      <c r="K879" s="102"/>
      <c r="L879" s="102"/>
      <c r="M879" s="102"/>
      <c r="N879" s="261"/>
      <c r="O879" s="102"/>
      <c r="P879" s="102"/>
      <c r="Q879" s="102"/>
    </row>
    <row r="880" spans="4:17" x14ac:dyDescent="0.25">
      <c r="D880" s="102"/>
      <c r="E880" s="260"/>
      <c r="F880" s="102"/>
      <c r="G880" s="102"/>
      <c r="H880" s="102"/>
      <c r="I880" s="102"/>
      <c r="J880" s="102"/>
      <c r="K880" s="102"/>
      <c r="L880" s="102"/>
      <c r="M880" s="102"/>
      <c r="N880" s="261"/>
      <c r="O880" s="102"/>
      <c r="P880" s="102"/>
      <c r="Q880" s="102"/>
    </row>
    <row r="881" spans="4:17" x14ac:dyDescent="0.25">
      <c r="D881" s="102"/>
      <c r="E881" s="260"/>
      <c r="F881" s="102"/>
      <c r="G881" s="102"/>
      <c r="H881" s="102"/>
      <c r="I881" s="102"/>
      <c r="J881" s="102"/>
      <c r="K881" s="102"/>
      <c r="L881" s="102"/>
      <c r="M881" s="102"/>
      <c r="N881" s="261"/>
      <c r="O881" s="102"/>
      <c r="P881" s="102"/>
      <c r="Q881" s="102"/>
    </row>
    <row r="882" spans="4:17" x14ac:dyDescent="0.25">
      <c r="D882" s="102"/>
      <c r="E882" s="260"/>
      <c r="F882" s="102"/>
      <c r="G882" s="102"/>
      <c r="H882" s="102"/>
      <c r="I882" s="102"/>
      <c r="J882" s="102"/>
      <c r="K882" s="102"/>
      <c r="L882" s="102"/>
      <c r="M882" s="102"/>
      <c r="N882" s="261"/>
      <c r="O882" s="102"/>
      <c r="P882" s="102"/>
      <c r="Q882" s="102"/>
    </row>
    <row r="883" spans="4:17" x14ac:dyDescent="0.25">
      <c r="D883" s="102"/>
      <c r="E883" s="260"/>
      <c r="F883" s="102"/>
      <c r="G883" s="102"/>
      <c r="H883" s="102"/>
      <c r="I883" s="102"/>
      <c r="J883" s="102"/>
      <c r="K883" s="102"/>
      <c r="L883" s="102"/>
      <c r="M883" s="102"/>
      <c r="N883" s="261"/>
      <c r="O883" s="102"/>
      <c r="P883" s="102"/>
      <c r="Q883" s="102"/>
    </row>
    <row r="884" spans="4:17" x14ac:dyDescent="0.25">
      <c r="D884" s="102"/>
      <c r="E884" s="260"/>
      <c r="F884" s="102"/>
      <c r="G884" s="102"/>
      <c r="H884" s="102"/>
      <c r="I884" s="102"/>
      <c r="J884" s="102"/>
      <c r="K884" s="102"/>
      <c r="L884" s="102"/>
      <c r="M884" s="102"/>
      <c r="N884" s="261"/>
      <c r="O884" s="102"/>
      <c r="P884" s="102"/>
      <c r="Q884" s="102"/>
    </row>
    <row r="885" spans="4:17" x14ac:dyDescent="0.25">
      <c r="D885" s="102"/>
      <c r="E885" s="260"/>
      <c r="F885" s="102"/>
      <c r="G885" s="102"/>
      <c r="H885" s="102"/>
      <c r="I885" s="102"/>
      <c r="J885" s="102"/>
      <c r="K885" s="102"/>
      <c r="L885" s="102"/>
      <c r="M885" s="102"/>
      <c r="N885" s="261"/>
      <c r="O885" s="102"/>
      <c r="P885" s="102"/>
      <c r="Q885" s="102"/>
    </row>
    <row r="886" spans="4:17" x14ac:dyDescent="0.25">
      <c r="D886" s="102"/>
      <c r="E886" s="260"/>
      <c r="F886" s="102"/>
      <c r="G886" s="102"/>
      <c r="H886" s="102"/>
      <c r="I886" s="102"/>
      <c r="J886" s="102"/>
      <c r="K886" s="102"/>
      <c r="L886" s="102"/>
      <c r="M886" s="102"/>
      <c r="N886" s="261"/>
      <c r="O886" s="102"/>
      <c r="P886" s="102"/>
      <c r="Q886" s="102"/>
    </row>
    <row r="887" spans="4:17" x14ac:dyDescent="0.25">
      <c r="D887" s="102"/>
      <c r="E887" s="260"/>
      <c r="F887" s="102"/>
      <c r="G887" s="102"/>
      <c r="H887" s="102"/>
      <c r="I887" s="102"/>
      <c r="J887" s="102"/>
      <c r="K887" s="102"/>
      <c r="L887" s="102"/>
      <c r="M887" s="102"/>
      <c r="N887" s="261"/>
      <c r="O887" s="102"/>
      <c r="P887" s="102"/>
      <c r="Q887" s="102"/>
    </row>
    <row r="888" spans="4:17" x14ac:dyDescent="0.25">
      <c r="D888" s="102"/>
      <c r="E888" s="260"/>
      <c r="F888" s="102"/>
      <c r="G888" s="102"/>
      <c r="H888" s="102"/>
      <c r="I888" s="102"/>
      <c r="J888" s="102"/>
      <c r="K888" s="102"/>
      <c r="L888" s="102"/>
      <c r="M888" s="102"/>
      <c r="N888" s="261"/>
      <c r="O888" s="102"/>
      <c r="P888" s="102"/>
      <c r="Q888" s="102"/>
    </row>
    <row r="889" spans="4:17" x14ac:dyDescent="0.25">
      <c r="D889" s="102"/>
      <c r="E889" s="260"/>
      <c r="F889" s="102"/>
      <c r="G889" s="102"/>
      <c r="H889" s="102"/>
      <c r="I889" s="102"/>
      <c r="J889" s="102"/>
      <c r="K889" s="102"/>
      <c r="L889" s="102"/>
      <c r="M889" s="102"/>
      <c r="N889" s="261"/>
      <c r="O889" s="102"/>
      <c r="P889" s="102"/>
      <c r="Q889" s="102"/>
    </row>
    <row r="890" spans="4:17" x14ac:dyDescent="0.25">
      <c r="D890" s="102"/>
      <c r="E890" s="260"/>
      <c r="F890" s="102"/>
      <c r="G890" s="102"/>
      <c r="H890" s="102"/>
      <c r="I890" s="102"/>
      <c r="J890" s="102"/>
      <c r="K890" s="102"/>
      <c r="L890" s="102"/>
      <c r="M890" s="102"/>
      <c r="N890" s="261"/>
      <c r="O890" s="102"/>
      <c r="P890" s="102"/>
      <c r="Q890" s="102"/>
    </row>
    <row r="891" spans="4:17" x14ac:dyDescent="0.25">
      <c r="D891" s="102"/>
      <c r="E891" s="260"/>
      <c r="F891" s="102"/>
      <c r="G891" s="102"/>
      <c r="H891" s="102"/>
      <c r="I891" s="102"/>
      <c r="J891" s="102"/>
      <c r="K891" s="102"/>
      <c r="L891" s="102"/>
      <c r="M891" s="102"/>
      <c r="N891" s="261"/>
      <c r="O891" s="102"/>
      <c r="P891" s="102"/>
      <c r="Q891" s="102"/>
    </row>
    <row r="892" spans="4:17" x14ac:dyDescent="0.25">
      <c r="D892" s="102"/>
      <c r="E892" s="260"/>
      <c r="F892" s="102"/>
      <c r="G892" s="102"/>
      <c r="H892" s="102"/>
      <c r="I892" s="102"/>
      <c r="J892" s="102"/>
      <c r="K892" s="102"/>
      <c r="L892" s="102"/>
      <c r="M892" s="102"/>
      <c r="N892" s="261"/>
      <c r="O892" s="102"/>
      <c r="P892" s="102"/>
      <c r="Q892" s="102"/>
    </row>
    <row r="893" spans="4:17" x14ac:dyDescent="0.25">
      <c r="D893" s="102"/>
      <c r="E893" s="260"/>
      <c r="F893" s="102"/>
      <c r="G893" s="102"/>
      <c r="H893" s="102"/>
      <c r="I893" s="102"/>
      <c r="J893" s="102"/>
      <c r="K893" s="102"/>
      <c r="L893" s="102"/>
      <c r="M893" s="102"/>
      <c r="N893" s="261"/>
      <c r="O893" s="102"/>
      <c r="P893" s="102"/>
      <c r="Q893" s="102"/>
    </row>
    <row r="894" spans="4:17" x14ac:dyDescent="0.25">
      <c r="D894" s="102"/>
      <c r="E894" s="260"/>
      <c r="F894" s="102"/>
      <c r="G894" s="102"/>
      <c r="H894" s="102"/>
      <c r="I894" s="102"/>
      <c r="J894" s="102"/>
      <c r="K894" s="102"/>
      <c r="L894" s="102"/>
      <c r="M894" s="102"/>
      <c r="N894" s="261"/>
      <c r="O894" s="102"/>
      <c r="P894" s="102"/>
      <c r="Q894" s="102"/>
    </row>
    <row r="895" spans="4:17" x14ac:dyDescent="0.25">
      <c r="D895" s="102"/>
      <c r="E895" s="260"/>
      <c r="F895" s="102"/>
      <c r="G895" s="102"/>
      <c r="H895" s="102"/>
      <c r="I895" s="102"/>
      <c r="J895" s="102"/>
      <c r="K895" s="102"/>
      <c r="L895" s="102"/>
      <c r="M895" s="102"/>
      <c r="N895" s="261"/>
      <c r="O895" s="102"/>
      <c r="P895" s="102"/>
      <c r="Q895" s="102"/>
    </row>
    <row r="896" spans="4:17" x14ac:dyDescent="0.25">
      <c r="D896" s="102"/>
      <c r="E896" s="260"/>
      <c r="F896" s="102"/>
      <c r="G896" s="102"/>
      <c r="H896" s="102"/>
      <c r="I896" s="102"/>
      <c r="J896" s="102"/>
      <c r="K896" s="102"/>
      <c r="L896" s="102"/>
      <c r="M896" s="102"/>
      <c r="N896" s="261"/>
      <c r="O896" s="102"/>
      <c r="P896" s="102"/>
      <c r="Q896" s="102"/>
    </row>
    <row r="897" spans="4:17" x14ac:dyDescent="0.25">
      <c r="D897" s="102"/>
      <c r="E897" s="260"/>
      <c r="F897" s="102"/>
      <c r="G897" s="102"/>
      <c r="H897" s="102"/>
      <c r="I897" s="102"/>
      <c r="J897" s="102"/>
      <c r="K897" s="102"/>
      <c r="L897" s="102"/>
      <c r="M897" s="102"/>
      <c r="N897" s="261"/>
      <c r="O897" s="102"/>
      <c r="P897" s="102"/>
      <c r="Q897" s="102"/>
    </row>
    <row r="898" spans="4:17" x14ac:dyDescent="0.25">
      <c r="D898" s="102"/>
      <c r="E898" s="260"/>
      <c r="F898" s="102"/>
      <c r="G898" s="102"/>
      <c r="H898" s="102"/>
      <c r="I898" s="102"/>
      <c r="J898" s="102"/>
      <c r="K898" s="102"/>
      <c r="L898" s="102"/>
      <c r="M898" s="102"/>
      <c r="N898" s="261"/>
      <c r="O898" s="102"/>
      <c r="P898" s="102"/>
      <c r="Q898" s="102"/>
    </row>
    <row r="899" spans="4:17" x14ac:dyDescent="0.25">
      <c r="D899" s="102"/>
      <c r="E899" s="260"/>
      <c r="F899" s="102"/>
      <c r="G899" s="102"/>
      <c r="H899" s="102"/>
      <c r="I899" s="102"/>
      <c r="J899" s="102"/>
      <c r="K899" s="102"/>
      <c r="L899" s="102"/>
      <c r="M899" s="102"/>
      <c r="N899" s="261"/>
      <c r="O899" s="102"/>
      <c r="P899" s="102"/>
      <c r="Q899" s="102"/>
    </row>
    <row r="900" spans="4:17" x14ac:dyDescent="0.25">
      <c r="D900" s="102"/>
      <c r="E900" s="260"/>
      <c r="F900" s="102"/>
      <c r="G900" s="102"/>
      <c r="H900" s="102"/>
      <c r="I900" s="102"/>
      <c r="J900" s="102"/>
      <c r="K900" s="102"/>
      <c r="L900" s="102"/>
      <c r="M900" s="102"/>
      <c r="N900" s="261"/>
      <c r="O900" s="102"/>
      <c r="P900" s="102"/>
      <c r="Q900" s="102"/>
    </row>
    <row r="901" spans="4:17" x14ac:dyDescent="0.25">
      <c r="D901" s="102"/>
      <c r="E901" s="260"/>
      <c r="F901" s="102"/>
      <c r="G901" s="102"/>
      <c r="H901" s="102"/>
      <c r="I901" s="102"/>
      <c r="J901" s="102"/>
      <c r="K901" s="102"/>
      <c r="L901" s="102"/>
      <c r="M901" s="102"/>
      <c r="N901" s="261"/>
      <c r="O901" s="102"/>
      <c r="P901" s="102"/>
      <c r="Q901" s="102"/>
    </row>
    <row r="902" spans="4:17" x14ac:dyDescent="0.25">
      <c r="D902" s="102"/>
      <c r="E902" s="260"/>
      <c r="F902" s="102"/>
      <c r="G902" s="102"/>
      <c r="H902" s="102"/>
      <c r="I902" s="102"/>
      <c r="J902" s="102"/>
      <c r="K902" s="102"/>
      <c r="L902" s="102"/>
      <c r="M902" s="102"/>
      <c r="N902" s="261"/>
      <c r="O902" s="102"/>
      <c r="P902" s="102"/>
      <c r="Q902" s="102"/>
    </row>
    <row r="903" spans="4:17" x14ac:dyDescent="0.25">
      <c r="D903" s="102"/>
      <c r="E903" s="260"/>
      <c r="F903" s="102"/>
      <c r="G903" s="102"/>
      <c r="H903" s="102"/>
      <c r="I903" s="102"/>
      <c r="J903" s="102"/>
      <c r="K903" s="102"/>
      <c r="L903" s="102"/>
      <c r="M903" s="102"/>
      <c r="N903" s="261"/>
      <c r="O903" s="102"/>
      <c r="P903" s="102"/>
      <c r="Q903" s="102"/>
    </row>
    <row r="904" spans="4:17" x14ac:dyDescent="0.25">
      <c r="D904" s="102"/>
      <c r="E904" s="260"/>
      <c r="F904" s="102"/>
      <c r="G904" s="102"/>
      <c r="H904" s="102"/>
      <c r="I904" s="102"/>
      <c r="J904" s="102"/>
      <c r="K904" s="102"/>
      <c r="L904" s="102"/>
      <c r="M904" s="102"/>
      <c r="N904" s="261"/>
      <c r="O904" s="102"/>
      <c r="P904" s="102"/>
      <c r="Q904" s="102"/>
    </row>
    <row r="905" spans="4:17" x14ac:dyDescent="0.25">
      <c r="D905" s="102"/>
      <c r="E905" s="260"/>
      <c r="F905" s="102"/>
      <c r="G905" s="102"/>
      <c r="H905" s="102"/>
      <c r="I905" s="102"/>
      <c r="J905" s="102"/>
      <c r="K905" s="102"/>
      <c r="L905" s="102"/>
      <c r="M905" s="102"/>
      <c r="N905" s="261"/>
      <c r="O905" s="102"/>
      <c r="P905" s="102"/>
      <c r="Q905" s="102"/>
    </row>
    <row r="906" spans="4:17" x14ac:dyDescent="0.25">
      <c r="D906" s="102"/>
      <c r="E906" s="260"/>
      <c r="F906" s="102"/>
      <c r="G906" s="102"/>
      <c r="H906" s="102"/>
      <c r="I906" s="102"/>
      <c r="J906" s="102"/>
      <c r="K906" s="102"/>
      <c r="L906" s="102"/>
      <c r="M906" s="102"/>
      <c r="N906" s="261"/>
      <c r="O906" s="102"/>
      <c r="P906" s="102"/>
      <c r="Q906" s="102"/>
    </row>
    <row r="907" spans="4:17" x14ac:dyDescent="0.25">
      <c r="D907" s="102"/>
      <c r="E907" s="260"/>
      <c r="F907" s="102"/>
      <c r="G907" s="102"/>
      <c r="H907" s="102"/>
      <c r="I907" s="102"/>
      <c r="J907" s="102"/>
      <c r="K907" s="102"/>
      <c r="L907" s="102"/>
      <c r="M907" s="102"/>
      <c r="N907" s="261"/>
      <c r="O907" s="102"/>
      <c r="P907" s="102"/>
      <c r="Q907" s="102"/>
    </row>
    <row r="908" spans="4:17" x14ac:dyDescent="0.25">
      <c r="D908" s="102"/>
      <c r="E908" s="260"/>
      <c r="F908" s="102"/>
      <c r="G908" s="102"/>
      <c r="H908" s="102"/>
      <c r="I908" s="102"/>
      <c r="J908" s="102"/>
      <c r="K908" s="102"/>
      <c r="L908" s="102"/>
      <c r="M908" s="102"/>
      <c r="N908" s="261"/>
      <c r="O908" s="102"/>
      <c r="P908" s="102"/>
      <c r="Q908" s="102"/>
    </row>
    <row r="909" spans="4:17" x14ac:dyDescent="0.25">
      <c r="D909" s="102"/>
      <c r="E909" s="260"/>
      <c r="F909" s="102"/>
      <c r="G909" s="102"/>
      <c r="H909" s="102"/>
      <c r="I909" s="102"/>
      <c r="J909" s="102"/>
      <c r="K909" s="102"/>
      <c r="L909" s="102"/>
      <c r="M909" s="102"/>
      <c r="N909" s="261"/>
      <c r="O909" s="102"/>
      <c r="P909" s="102"/>
      <c r="Q909" s="102"/>
    </row>
    <row r="910" spans="4:17" x14ac:dyDescent="0.25">
      <c r="D910" s="102"/>
      <c r="E910" s="260"/>
      <c r="F910" s="102"/>
      <c r="G910" s="102"/>
      <c r="H910" s="102"/>
      <c r="I910" s="102"/>
      <c r="J910" s="102"/>
      <c r="K910" s="102"/>
      <c r="L910" s="102"/>
      <c r="M910" s="102"/>
      <c r="N910" s="261"/>
      <c r="O910" s="102"/>
      <c r="P910" s="102"/>
      <c r="Q910" s="102"/>
    </row>
    <row r="911" spans="4:17" x14ac:dyDescent="0.25">
      <c r="D911" s="102"/>
      <c r="E911" s="260"/>
      <c r="F911" s="102"/>
      <c r="G911" s="102"/>
      <c r="H911" s="102"/>
      <c r="I911" s="102"/>
      <c r="J911" s="102"/>
      <c r="K911" s="102"/>
      <c r="L911" s="102"/>
      <c r="M911" s="102"/>
      <c r="N911" s="261"/>
      <c r="O911" s="102"/>
      <c r="P911" s="102"/>
      <c r="Q911" s="102"/>
    </row>
    <row r="912" spans="4:17" x14ac:dyDescent="0.25">
      <c r="D912" s="102"/>
      <c r="E912" s="260"/>
      <c r="F912" s="102"/>
      <c r="G912" s="102"/>
      <c r="H912" s="102"/>
      <c r="I912" s="102"/>
      <c r="J912" s="102"/>
      <c r="K912" s="102"/>
      <c r="L912" s="102"/>
      <c r="M912" s="102"/>
      <c r="N912" s="261"/>
      <c r="O912" s="102"/>
      <c r="P912" s="102"/>
      <c r="Q912" s="102"/>
    </row>
    <row r="913" spans="4:17" x14ac:dyDescent="0.25">
      <c r="D913" s="102"/>
      <c r="E913" s="260"/>
      <c r="F913" s="102"/>
      <c r="G913" s="102"/>
      <c r="H913" s="102"/>
      <c r="I913" s="102"/>
      <c r="J913" s="102"/>
      <c r="K913" s="102"/>
      <c r="L913" s="102"/>
      <c r="M913" s="102"/>
      <c r="N913" s="261"/>
      <c r="O913" s="102"/>
      <c r="P913" s="102"/>
      <c r="Q913" s="102"/>
    </row>
    <row r="914" spans="4:17" x14ac:dyDescent="0.25">
      <c r="D914" s="102"/>
      <c r="E914" s="260"/>
      <c r="F914" s="102"/>
      <c r="G914" s="102"/>
      <c r="H914" s="102"/>
      <c r="I914" s="102"/>
      <c r="J914" s="102"/>
      <c r="K914" s="102"/>
      <c r="L914" s="102"/>
      <c r="M914" s="102"/>
      <c r="N914" s="261"/>
      <c r="O914" s="102"/>
      <c r="P914" s="102"/>
      <c r="Q914" s="102"/>
    </row>
    <row r="915" spans="4:17" x14ac:dyDescent="0.25">
      <c r="D915" s="102"/>
      <c r="E915" s="260"/>
      <c r="F915" s="102"/>
      <c r="G915" s="102"/>
      <c r="H915" s="102"/>
      <c r="I915" s="102"/>
      <c r="J915" s="102"/>
      <c r="K915" s="102"/>
      <c r="L915" s="102"/>
      <c r="M915" s="102"/>
      <c r="N915" s="261"/>
      <c r="O915" s="102"/>
      <c r="P915" s="102"/>
      <c r="Q915" s="102"/>
    </row>
    <row r="916" spans="4:17" x14ac:dyDescent="0.25">
      <c r="D916" s="102"/>
      <c r="E916" s="260"/>
      <c r="F916" s="102"/>
      <c r="G916" s="102"/>
      <c r="H916" s="102"/>
      <c r="I916" s="102"/>
      <c r="J916" s="102"/>
      <c r="K916" s="102"/>
      <c r="L916" s="102"/>
      <c r="M916" s="102"/>
      <c r="N916" s="261"/>
      <c r="O916" s="102"/>
      <c r="P916" s="102"/>
      <c r="Q916" s="102"/>
    </row>
    <row r="917" spans="4:17" x14ac:dyDescent="0.25">
      <c r="D917" s="102"/>
      <c r="E917" s="260"/>
      <c r="F917" s="102"/>
      <c r="G917" s="102"/>
      <c r="H917" s="102"/>
      <c r="I917" s="102"/>
      <c r="J917" s="102"/>
      <c r="K917" s="102"/>
      <c r="L917" s="102"/>
      <c r="M917" s="102"/>
      <c r="N917" s="261"/>
      <c r="O917" s="102"/>
      <c r="P917" s="102"/>
      <c r="Q917" s="102"/>
    </row>
    <row r="918" spans="4:17" x14ac:dyDescent="0.25">
      <c r="D918" s="102"/>
      <c r="E918" s="260"/>
      <c r="F918" s="102"/>
      <c r="G918" s="102"/>
      <c r="H918" s="102"/>
      <c r="I918" s="102"/>
      <c r="J918" s="102"/>
      <c r="K918" s="102"/>
      <c r="L918" s="102"/>
      <c r="M918" s="102"/>
      <c r="N918" s="261"/>
      <c r="O918" s="102"/>
      <c r="P918" s="102"/>
      <c r="Q918" s="102"/>
    </row>
    <row r="919" spans="4:17" x14ac:dyDescent="0.25">
      <c r="D919" s="102"/>
      <c r="E919" s="260"/>
      <c r="F919" s="102"/>
      <c r="G919" s="102"/>
      <c r="H919" s="102"/>
      <c r="I919" s="102"/>
      <c r="J919" s="102"/>
      <c r="K919" s="102"/>
      <c r="L919" s="102"/>
      <c r="M919" s="102"/>
      <c r="N919" s="261"/>
      <c r="O919" s="102"/>
      <c r="P919" s="102"/>
      <c r="Q919" s="102"/>
    </row>
    <row r="920" spans="4:17" x14ac:dyDescent="0.25">
      <c r="D920" s="102"/>
      <c r="E920" s="260"/>
      <c r="F920" s="102"/>
      <c r="G920" s="102"/>
      <c r="H920" s="102"/>
      <c r="I920" s="102"/>
      <c r="J920" s="102"/>
      <c r="K920" s="102"/>
      <c r="L920" s="102"/>
      <c r="M920" s="102"/>
      <c r="N920" s="261"/>
      <c r="O920" s="102"/>
      <c r="P920" s="102"/>
      <c r="Q920" s="102"/>
    </row>
    <row r="921" spans="4:17" x14ac:dyDescent="0.25">
      <c r="D921" s="102"/>
      <c r="E921" s="260"/>
      <c r="F921" s="102"/>
      <c r="G921" s="102"/>
      <c r="H921" s="102"/>
      <c r="I921" s="102"/>
      <c r="J921" s="102"/>
      <c r="K921" s="102"/>
      <c r="L921" s="102"/>
      <c r="M921" s="102"/>
      <c r="N921" s="261"/>
      <c r="O921" s="102"/>
      <c r="P921" s="102"/>
      <c r="Q921" s="102"/>
    </row>
    <row r="922" spans="4:17" x14ac:dyDescent="0.25">
      <c r="D922" s="102"/>
      <c r="E922" s="260"/>
      <c r="F922" s="102"/>
      <c r="G922" s="102"/>
      <c r="H922" s="102"/>
      <c r="I922" s="102"/>
      <c r="J922" s="102"/>
      <c r="K922" s="102"/>
      <c r="L922" s="102"/>
      <c r="M922" s="102"/>
      <c r="N922" s="261"/>
      <c r="O922" s="102"/>
      <c r="P922" s="102"/>
      <c r="Q922" s="102"/>
    </row>
    <row r="923" spans="4:17" x14ac:dyDescent="0.25">
      <c r="D923" s="102"/>
      <c r="E923" s="260"/>
      <c r="F923" s="102"/>
      <c r="G923" s="102"/>
      <c r="H923" s="102"/>
      <c r="I923" s="102"/>
      <c r="J923" s="102"/>
      <c r="K923" s="102"/>
      <c r="L923" s="102"/>
      <c r="M923" s="102"/>
      <c r="N923" s="261"/>
      <c r="O923" s="102"/>
      <c r="P923" s="102"/>
      <c r="Q923" s="102"/>
    </row>
    <row r="924" spans="4:17" x14ac:dyDescent="0.25">
      <c r="D924" s="102"/>
      <c r="E924" s="260"/>
      <c r="F924" s="102"/>
      <c r="G924" s="102"/>
      <c r="H924" s="102"/>
      <c r="I924" s="102"/>
      <c r="J924" s="102"/>
      <c r="K924" s="102"/>
      <c r="L924" s="102"/>
      <c r="M924" s="102"/>
      <c r="N924" s="261"/>
      <c r="O924" s="102"/>
      <c r="P924" s="102"/>
      <c r="Q924" s="102"/>
    </row>
    <row r="925" spans="4:17" x14ac:dyDescent="0.25">
      <c r="D925" s="102"/>
      <c r="E925" s="260"/>
      <c r="F925" s="102"/>
      <c r="G925" s="102"/>
      <c r="H925" s="102"/>
      <c r="I925" s="102"/>
      <c r="J925" s="102"/>
      <c r="K925" s="102"/>
      <c r="L925" s="102"/>
      <c r="M925" s="102"/>
      <c r="N925" s="261"/>
      <c r="O925" s="102"/>
      <c r="P925" s="102"/>
      <c r="Q925" s="102"/>
    </row>
    <row r="926" spans="4:17" x14ac:dyDescent="0.25">
      <c r="D926" s="102"/>
      <c r="E926" s="260"/>
      <c r="F926" s="102"/>
      <c r="G926" s="102"/>
      <c r="H926" s="102"/>
      <c r="I926" s="102"/>
      <c r="J926" s="102"/>
      <c r="K926" s="102"/>
      <c r="L926" s="102"/>
      <c r="M926" s="102"/>
      <c r="N926" s="261"/>
      <c r="O926" s="102"/>
      <c r="P926" s="102"/>
      <c r="Q926" s="102"/>
    </row>
    <row r="927" spans="4:17" x14ac:dyDescent="0.25">
      <c r="D927" s="102"/>
      <c r="E927" s="260"/>
      <c r="F927" s="102"/>
      <c r="G927" s="102"/>
      <c r="H927" s="102"/>
      <c r="I927" s="102"/>
      <c r="J927" s="102"/>
      <c r="K927" s="102"/>
      <c r="L927" s="102"/>
      <c r="M927" s="102"/>
      <c r="N927" s="261"/>
      <c r="O927" s="102"/>
      <c r="P927" s="102"/>
      <c r="Q927" s="102"/>
    </row>
    <row r="928" spans="4:17" x14ac:dyDescent="0.25">
      <c r="D928" s="102"/>
      <c r="E928" s="260"/>
      <c r="F928" s="102"/>
      <c r="G928" s="102"/>
      <c r="H928" s="102"/>
      <c r="I928" s="102"/>
      <c r="J928" s="102"/>
      <c r="K928" s="102"/>
      <c r="L928" s="102"/>
      <c r="M928" s="102"/>
      <c r="N928" s="261"/>
      <c r="O928" s="102"/>
      <c r="P928" s="102"/>
      <c r="Q928" s="102"/>
    </row>
    <row r="929" spans="4:17" x14ac:dyDescent="0.25">
      <c r="D929" s="102"/>
      <c r="E929" s="260"/>
      <c r="F929" s="102"/>
      <c r="G929" s="102"/>
      <c r="H929" s="102"/>
      <c r="I929" s="102"/>
      <c r="J929" s="102"/>
      <c r="K929" s="102"/>
      <c r="L929" s="102"/>
      <c r="M929" s="102"/>
      <c r="N929" s="261"/>
      <c r="O929" s="102"/>
      <c r="P929" s="102"/>
      <c r="Q929" s="102"/>
    </row>
    <row r="930" spans="4:17" x14ac:dyDescent="0.25">
      <c r="D930" s="102"/>
      <c r="E930" s="260"/>
      <c r="F930" s="102"/>
      <c r="G930" s="102"/>
      <c r="H930" s="102"/>
      <c r="I930" s="102"/>
      <c r="J930" s="102"/>
      <c r="K930" s="102"/>
      <c r="L930" s="102"/>
      <c r="M930" s="102"/>
      <c r="N930" s="261"/>
      <c r="O930" s="102"/>
      <c r="P930" s="102"/>
      <c r="Q930" s="102"/>
    </row>
    <row r="931" spans="4:17" x14ac:dyDescent="0.25">
      <c r="D931" s="102"/>
      <c r="E931" s="260"/>
      <c r="F931" s="102"/>
      <c r="G931" s="102"/>
      <c r="H931" s="102"/>
      <c r="I931" s="102"/>
      <c r="J931" s="102"/>
      <c r="K931" s="102"/>
      <c r="L931" s="102"/>
      <c r="M931" s="102"/>
      <c r="N931" s="261"/>
      <c r="O931" s="102"/>
      <c r="P931" s="102"/>
      <c r="Q931" s="102"/>
    </row>
    <row r="932" spans="4:17" x14ac:dyDescent="0.25">
      <c r="D932" s="102"/>
      <c r="E932" s="260"/>
      <c r="F932" s="102"/>
      <c r="G932" s="102"/>
      <c r="H932" s="102"/>
      <c r="I932" s="102"/>
      <c r="J932" s="102"/>
      <c r="K932" s="102"/>
      <c r="L932" s="102"/>
      <c r="M932" s="102"/>
      <c r="N932" s="261"/>
      <c r="O932" s="102"/>
      <c r="P932" s="102"/>
      <c r="Q932" s="102"/>
    </row>
    <row r="933" spans="4:17" x14ac:dyDescent="0.25">
      <c r="D933" s="102"/>
      <c r="E933" s="260"/>
      <c r="F933" s="102"/>
      <c r="G933" s="102"/>
      <c r="H933" s="102"/>
      <c r="I933" s="102"/>
      <c r="J933" s="102"/>
      <c r="K933" s="102"/>
      <c r="L933" s="102"/>
      <c r="M933" s="102"/>
      <c r="N933" s="261"/>
      <c r="O933" s="102"/>
      <c r="P933" s="102"/>
      <c r="Q933" s="102"/>
    </row>
    <row r="934" spans="4:17" x14ac:dyDescent="0.25">
      <c r="D934" s="102"/>
      <c r="E934" s="260"/>
      <c r="F934" s="102"/>
      <c r="G934" s="102"/>
      <c r="H934" s="102"/>
      <c r="I934" s="102"/>
      <c r="J934" s="102"/>
      <c r="K934" s="102"/>
      <c r="L934" s="102"/>
      <c r="M934" s="102"/>
      <c r="N934" s="261"/>
      <c r="O934" s="102"/>
      <c r="P934" s="102"/>
      <c r="Q934" s="102"/>
    </row>
    <row r="935" spans="4:17" x14ac:dyDescent="0.25">
      <c r="D935" s="102"/>
      <c r="E935" s="260"/>
      <c r="F935" s="102"/>
      <c r="G935" s="102"/>
      <c r="H935" s="102"/>
      <c r="I935" s="102"/>
      <c r="J935" s="102"/>
      <c r="K935" s="102"/>
      <c r="L935" s="102"/>
      <c r="M935" s="102"/>
      <c r="N935" s="261"/>
      <c r="O935" s="102"/>
      <c r="P935" s="102"/>
      <c r="Q935" s="102"/>
    </row>
    <row r="936" spans="4:17" x14ac:dyDescent="0.25">
      <c r="D936" s="102"/>
      <c r="E936" s="260"/>
      <c r="F936" s="102"/>
      <c r="G936" s="102"/>
      <c r="H936" s="102"/>
      <c r="I936" s="102"/>
      <c r="J936" s="102"/>
      <c r="K936" s="102"/>
      <c r="L936" s="102"/>
      <c r="M936" s="102"/>
      <c r="N936" s="261"/>
      <c r="O936" s="102"/>
      <c r="P936" s="102"/>
      <c r="Q936" s="102"/>
    </row>
    <row r="937" spans="4:17" x14ac:dyDescent="0.25">
      <c r="D937" s="102"/>
      <c r="E937" s="260"/>
      <c r="F937" s="102"/>
      <c r="G937" s="102"/>
      <c r="H937" s="102"/>
      <c r="I937" s="102"/>
      <c r="J937" s="102"/>
      <c r="K937" s="102"/>
      <c r="L937" s="102"/>
      <c r="M937" s="102"/>
      <c r="N937" s="261"/>
      <c r="O937" s="102"/>
      <c r="P937" s="102"/>
      <c r="Q937" s="102"/>
    </row>
    <row r="938" spans="4:17" x14ac:dyDescent="0.25">
      <c r="D938" s="102"/>
      <c r="E938" s="260"/>
      <c r="F938" s="102"/>
      <c r="G938" s="102"/>
      <c r="H938" s="102"/>
      <c r="I938" s="102"/>
      <c r="J938" s="102"/>
      <c r="K938" s="102"/>
      <c r="L938" s="102"/>
      <c r="M938" s="102"/>
      <c r="N938" s="261"/>
      <c r="O938" s="102"/>
      <c r="P938" s="102"/>
      <c r="Q938" s="102"/>
    </row>
    <row r="939" spans="4:17" x14ac:dyDescent="0.25">
      <c r="D939" s="102"/>
      <c r="E939" s="260"/>
      <c r="F939" s="102"/>
      <c r="G939" s="102"/>
      <c r="H939" s="102"/>
      <c r="I939" s="102"/>
      <c r="J939" s="102"/>
      <c r="K939" s="102"/>
      <c r="L939" s="102"/>
      <c r="M939" s="102"/>
      <c r="N939" s="261"/>
      <c r="O939" s="102"/>
      <c r="P939" s="102"/>
      <c r="Q939" s="102"/>
    </row>
    <row r="940" spans="4:17" x14ac:dyDescent="0.25">
      <c r="D940" s="102"/>
      <c r="E940" s="260"/>
      <c r="F940" s="102"/>
      <c r="G940" s="102"/>
      <c r="H940" s="102"/>
      <c r="I940" s="102"/>
      <c r="J940" s="102"/>
      <c r="K940" s="102"/>
      <c r="L940" s="102"/>
      <c r="M940" s="102"/>
      <c r="N940" s="261"/>
      <c r="O940" s="102"/>
      <c r="P940" s="102"/>
      <c r="Q940" s="102"/>
    </row>
    <row r="941" spans="4:17" x14ac:dyDescent="0.25">
      <c r="D941" s="102"/>
      <c r="E941" s="260"/>
      <c r="F941" s="102"/>
      <c r="G941" s="102"/>
      <c r="H941" s="102"/>
      <c r="I941" s="102"/>
      <c r="J941" s="102"/>
      <c r="K941" s="102"/>
      <c r="L941" s="102"/>
      <c r="M941" s="102"/>
      <c r="N941" s="261"/>
      <c r="O941" s="102"/>
      <c r="P941" s="102"/>
      <c r="Q941" s="102"/>
    </row>
    <row r="942" spans="4:17" x14ac:dyDescent="0.25">
      <c r="D942" s="102"/>
      <c r="E942" s="260"/>
      <c r="F942" s="102"/>
      <c r="G942" s="102"/>
      <c r="H942" s="102"/>
      <c r="I942" s="102"/>
      <c r="J942" s="102"/>
      <c r="K942" s="102"/>
      <c r="L942" s="102"/>
      <c r="M942" s="102"/>
      <c r="N942" s="261"/>
      <c r="O942" s="102"/>
      <c r="P942" s="102"/>
      <c r="Q942" s="102"/>
    </row>
    <row r="943" spans="4:17" x14ac:dyDescent="0.25">
      <c r="D943" s="102"/>
      <c r="E943" s="260"/>
      <c r="F943" s="102"/>
      <c r="G943" s="102"/>
      <c r="H943" s="102"/>
      <c r="I943" s="102"/>
      <c r="J943" s="102"/>
      <c r="K943" s="102"/>
      <c r="L943" s="102"/>
      <c r="M943" s="102"/>
      <c r="N943" s="261"/>
      <c r="O943" s="102"/>
      <c r="P943" s="102"/>
      <c r="Q943" s="102"/>
    </row>
    <row r="944" spans="4:17" x14ac:dyDescent="0.25">
      <c r="D944" s="102"/>
      <c r="E944" s="260"/>
      <c r="F944" s="102"/>
      <c r="G944" s="102"/>
      <c r="H944" s="102"/>
      <c r="I944" s="102"/>
      <c r="J944" s="102"/>
      <c r="K944" s="102"/>
      <c r="L944" s="102"/>
      <c r="M944" s="102"/>
      <c r="N944" s="261"/>
      <c r="O944" s="102"/>
      <c r="P944" s="102"/>
      <c r="Q944" s="102"/>
    </row>
    <row r="945" spans="4:17" x14ac:dyDescent="0.25">
      <c r="D945" s="102"/>
      <c r="E945" s="260"/>
      <c r="F945" s="102"/>
      <c r="G945" s="102"/>
      <c r="H945" s="102"/>
      <c r="I945" s="102"/>
      <c r="J945" s="102"/>
      <c r="K945" s="102"/>
      <c r="L945" s="102"/>
      <c r="M945" s="102"/>
      <c r="N945" s="261"/>
      <c r="O945" s="102"/>
      <c r="P945" s="102"/>
      <c r="Q945" s="102"/>
    </row>
    <row r="946" spans="4:17" x14ac:dyDescent="0.25">
      <c r="D946" s="102"/>
      <c r="E946" s="260"/>
      <c r="F946" s="102"/>
      <c r="G946" s="102"/>
      <c r="H946" s="102"/>
      <c r="I946" s="102"/>
      <c r="J946" s="102"/>
      <c r="K946" s="102"/>
      <c r="L946" s="102"/>
      <c r="M946" s="102"/>
      <c r="N946" s="261"/>
      <c r="O946" s="102"/>
      <c r="P946" s="102"/>
      <c r="Q946" s="102"/>
    </row>
    <row r="947" spans="4:17" x14ac:dyDescent="0.25">
      <c r="D947" s="102"/>
      <c r="E947" s="260"/>
      <c r="F947" s="102"/>
      <c r="G947" s="102"/>
      <c r="H947" s="102"/>
      <c r="I947" s="102"/>
      <c r="J947" s="102"/>
      <c r="K947" s="102"/>
      <c r="L947" s="102"/>
      <c r="M947" s="102"/>
      <c r="N947" s="261"/>
      <c r="O947" s="102"/>
      <c r="P947" s="102"/>
      <c r="Q947" s="102"/>
    </row>
    <row r="948" spans="4:17" x14ac:dyDescent="0.25">
      <c r="D948" s="102"/>
      <c r="E948" s="260"/>
      <c r="F948" s="102"/>
      <c r="G948" s="102"/>
      <c r="H948" s="102"/>
      <c r="I948" s="102"/>
      <c r="J948" s="102"/>
      <c r="K948" s="102"/>
      <c r="L948" s="102"/>
      <c r="M948" s="102"/>
      <c r="N948" s="261"/>
      <c r="O948" s="102"/>
      <c r="P948" s="102"/>
      <c r="Q948" s="102"/>
    </row>
    <row r="949" spans="4:17" x14ac:dyDescent="0.25">
      <c r="D949" s="102"/>
      <c r="E949" s="260"/>
      <c r="F949" s="102"/>
      <c r="G949" s="102"/>
      <c r="H949" s="102"/>
      <c r="I949" s="102"/>
      <c r="J949" s="102"/>
      <c r="K949" s="102"/>
      <c r="L949" s="102"/>
      <c r="M949" s="102"/>
      <c r="N949" s="261"/>
      <c r="O949" s="102"/>
      <c r="P949" s="102"/>
      <c r="Q949" s="102"/>
    </row>
    <row r="950" spans="4:17" x14ac:dyDescent="0.25">
      <c r="D950" s="102"/>
      <c r="E950" s="260"/>
      <c r="F950" s="102"/>
      <c r="G950" s="102"/>
      <c r="H950" s="102"/>
      <c r="I950" s="102"/>
      <c r="J950" s="102"/>
      <c r="K950" s="102"/>
      <c r="L950" s="102"/>
      <c r="M950" s="102"/>
      <c r="N950" s="261"/>
      <c r="O950" s="102"/>
      <c r="P950" s="102"/>
      <c r="Q950" s="102"/>
    </row>
    <row r="951" spans="4:17" x14ac:dyDescent="0.25">
      <c r="D951" s="102"/>
      <c r="E951" s="260"/>
      <c r="F951" s="102"/>
      <c r="G951" s="102"/>
      <c r="H951" s="102"/>
      <c r="I951" s="102"/>
      <c r="J951" s="102"/>
      <c r="K951" s="102"/>
      <c r="L951" s="102"/>
      <c r="M951" s="102"/>
      <c r="N951" s="261"/>
      <c r="O951" s="102"/>
      <c r="P951" s="102"/>
      <c r="Q951" s="102"/>
    </row>
    <row r="952" spans="4:17" x14ac:dyDescent="0.25">
      <c r="D952" s="102"/>
      <c r="E952" s="260"/>
      <c r="F952" s="102"/>
      <c r="G952" s="102"/>
      <c r="H952" s="102"/>
      <c r="I952" s="102"/>
      <c r="J952" s="102"/>
      <c r="K952" s="102"/>
      <c r="L952" s="102"/>
      <c r="M952" s="102"/>
      <c r="N952" s="261"/>
      <c r="O952" s="102"/>
      <c r="P952" s="102"/>
      <c r="Q952" s="102"/>
    </row>
    <row r="953" spans="4:17" x14ac:dyDescent="0.25">
      <c r="D953" s="102"/>
      <c r="E953" s="260"/>
      <c r="F953" s="102"/>
      <c r="G953" s="102"/>
      <c r="H953" s="102"/>
      <c r="I953" s="102"/>
      <c r="J953" s="102"/>
      <c r="K953" s="102"/>
      <c r="L953" s="102"/>
      <c r="M953" s="102"/>
      <c r="N953" s="261"/>
      <c r="O953" s="102"/>
      <c r="P953" s="102"/>
      <c r="Q953" s="102"/>
    </row>
    <row r="954" spans="4:17" x14ac:dyDescent="0.25">
      <c r="D954" s="102"/>
      <c r="E954" s="260"/>
      <c r="F954" s="102"/>
      <c r="G954" s="102"/>
      <c r="H954" s="102"/>
      <c r="I954" s="102"/>
      <c r="J954" s="102"/>
      <c r="K954" s="102"/>
      <c r="L954" s="102"/>
      <c r="M954" s="102"/>
      <c r="N954" s="261"/>
      <c r="O954" s="102"/>
      <c r="P954" s="102"/>
      <c r="Q954" s="102"/>
    </row>
    <row r="955" spans="4:17" x14ac:dyDescent="0.25">
      <c r="D955" s="102"/>
      <c r="E955" s="260"/>
      <c r="F955" s="102"/>
      <c r="G955" s="102"/>
      <c r="H955" s="102"/>
      <c r="I955" s="102"/>
      <c r="J955" s="102"/>
      <c r="K955" s="102"/>
      <c r="L955" s="102"/>
      <c r="M955" s="102"/>
      <c r="N955" s="261"/>
      <c r="O955" s="102"/>
      <c r="P955" s="102"/>
      <c r="Q955" s="102"/>
    </row>
    <row r="956" spans="4:17" x14ac:dyDescent="0.25">
      <c r="D956" s="102"/>
      <c r="E956" s="260"/>
      <c r="F956" s="102"/>
      <c r="G956" s="102"/>
      <c r="H956" s="102"/>
      <c r="I956" s="102"/>
      <c r="J956" s="102"/>
      <c r="K956" s="102"/>
      <c r="L956" s="102"/>
      <c r="M956" s="102"/>
      <c r="N956" s="261"/>
      <c r="O956" s="102"/>
      <c r="P956" s="102"/>
      <c r="Q956" s="102"/>
    </row>
    <row r="957" spans="4:17" x14ac:dyDescent="0.25">
      <c r="D957" s="102"/>
      <c r="E957" s="260"/>
      <c r="F957" s="102"/>
      <c r="G957" s="102"/>
      <c r="H957" s="102"/>
      <c r="I957" s="102"/>
      <c r="J957" s="102"/>
      <c r="K957" s="102"/>
      <c r="L957" s="102"/>
      <c r="M957" s="102"/>
      <c r="N957" s="261"/>
      <c r="O957" s="102"/>
      <c r="P957" s="102"/>
      <c r="Q957" s="102"/>
    </row>
    <row r="958" spans="4:17" x14ac:dyDescent="0.25">
      <c r="D958" s="102"/>
      <c r="E958" s="260"/>
      <c r="F958" s="102"/>
      <c r="G958" s="102"/>
      <c r="H958" s="102"/>
      <c r="I958" s="102"/>
      <c r="J958" s="102"/>
      <c r="K958" s="102"/>
      <c r="L958" s="102"/>
      <c r="M958" s="102"/>
      <c r="N958" s="261"/>
      <c r="O958" s="102"/>
      <c r="P958" s="102"/>
      <c r="Q958" s="102"/>
    </row>
    <row r="959" spans="4:17" x14ac:dyDescent="0.25">
      <c r="D959" s="102"/>
      <c r="E959" s="260"/>
      <c r="F959" s="102"/>
      <c r="G959" s="102"/>
      <c r="H959" s="102"/>
      <c r="I959" s="102"/>
      <c r="J959" s="102"/>
      <c r="K959" s="102"/>
      <c r="L959" s="102"/>
      <c r="M959" s="102"/>
      <c r="N959" s="261"/>
      <c r="O959" s="102"/>
      <c r="P959" s="102"/>
      <c r="Q959" s="102"/>
    </row>
    <row r="960" spans="4:17" x14ac:dyDescent="0.25">
      <c r="D960" s="102"/>
      <c r="E960" s="260"/>
      <c r="F960" s="102"/>
      <c r="G960" s="102"/>
      <c r="H960" s="102"/>
      <c r="I960" s="102"/>
      <c r="J960" s="102"/>
      <c r="K960" s="102"/>
      <c r="L960" s="102"/>
      <c r="M960" s="102"/>
      <c r="N960" s="261"/>
      <c r="O960" s="102"/>
      <c r="P960" s="102"/>
      <c r="Q960" s="102"/>
    </row>
    <row r="961" spans="4:17" x14ac:dyDescent="0.25">
      <c r="D961" s="102"/>
      <c r="E961" s="260"/>
      <c r="F961" s="102"/>
      <c r="G961" s="102"/>
      <c r="H961" s="102"/>
      <c r="I961" s="102"/>
      <c r="J961" s="102"/>
      <c r="K961" s="102"/>
      <c r="L961" s="102"/>
      <c r="M961" s="102"/>
      <c r="N961" s="261"/>
      <c r="O961" s="102"/>
      <c r="P961" s="102"/>
      <c r="Q961" s="102"/>
    </row>
    <row r="962" spans="4:17" x14ac:dyDescent="0.25">
      <c r="D962" s="102"/>
      <c r="E962" s="260"/>
      <c r="F962" s="102"/>
      <c r="G962" s="102"/>
      <c r="H962" s="102"/>
      <c r="I962" s="102"/>
      <c r="J962" s="102"/>
      <c r="K962" s="102"/>
      <c r="L962" s="102"/>
      <c r="M962" s="102"/>
      <c r="N962" s="261"/>
      <c r="O962" s="102"/>
      <c r="P962" s="102"/>
      <c r="Q962" s="102"/>
    </row>
    <row r="963" spans="4:17" x14ac:dyDescent="0.25">
      <c r="D963" s="102"/>
      <c r="E963" s="260"/>
      <c r="F963" s="102"/>
      <c r="G963" s="102"/>
      <c r="H963" s="102"/>
      <c r="I963" s="102"/>
      <c r="J963" s="102"/>
      <c r="K963" s="102"/>
      <c r="L963" s="102"/>
      <c r="M963" s="102"/>
      <c r="N963" s="261"/>
      <c r="O963" s="102"/>
      <c r="P963" s="102"/>
      <c r="Q963" s="102"/>
    </row>
    <row r="964" spans="4:17" x14ac:dyDescent="0.25">
      <c r="D964" s="102"/>
      <c r="E964" s="260"/>
      <c r="F964" s="102"/>
      <c r="G964" s="102"/>
      <c r="H964" s="102"/>
      <c r="I964" s="102"/>
      <c r="J964" s="102"/>
      <c r="K964" s="102"/>
      <c r="L964" s="102"/>
      <c r="M964" s="102"/>
      <c r="N964" s="261"/>
      <c r="O964" s="102"/>
      <c r="P964" s="102"/>
      <c r="Q964" s="102"/>
    </row>
    <row r="965" spans="4:17" x14ac:dyDescent="0.25">
      <c r="D965" s="102"/>
      <c r="E965" s="260"/>
      <c r="F965" s="102"/>
      <c r="G965" s="102"/>
      <c r="H965" s="102"/>
      <c r="I965" s="102"/>
      <c r="J965" s="102"/>
      <c r="K965" s="102"/>
      <c r="L965" s="102"/>
      <c r="M965" s="102"/>
      <c r="N965" s="261"/>
      <c r="O965" s="102"/>
      <c r="P965" s="102"/>
      <c r="Q965" s="102"/>
    </row>
    <row r="966" spans="4:17" x14ac:dyDescent="0.25">
      <c r="D966" s="102"/>
      <c r="E966" s="260"/>
      <c r="F966" s="102"/>
      <c r="G966" s="102"/>
      <c r="H966" s="102"/>
      <c r="I966" s="102"/>
      <c r="J966" s="102"/>
      <c r="K966" s="102"/>
      <c r="L966" s="102"/>
      <c r="M966" s="102"/>
      <c r="N966" s="261"/>
      <c r="O966" s="102"/>
      <c r="P966" s="102"/>
      <c r="Q966" s="102"/>
    </row>
    <row r="967" spans="4:17" x14ac:dyDescent="0.25">
      <c r="D967" s="102"/>
      <c r="E967" s="260"/>
      <c r="F967" s="102"/>
      <c r="G967" s="102"/>
      <c r="H967" s="102"/>
      <c r="I967" s="102"/>
      <c r="J967" s="102"/>
      <c r="K967" s="102"/>
      <c r="L967" s="102"/>
      <c r="M967" s="102"/>
      <c r="N967" s="261"/>
      <c r="O967" s="102"/>
      <c r="P967" s="102"/>
      <c r="Q967" s="102"/>
    </row>
    <row r="968" spans="4:17" x14ac:dyDescent="0.25">
      <c r="D968" s="102"/>
      <c r="E968" s="260"/>
      <c r="F968" s="102"/>
      <c r="G968" s="102"/>
      <c r="H968" s="102"/>
      <c r="I968" s="102"/>
      <c r="J968" s="102"/>
      <c r="K968" s="102"/>
      <c r="L968" s="102"/>
      <c r="M968" s="102"/>
      <c r="N968" s="261"/>
      <c r="O968" s="102"/>
      <c r="P968" s="102"/>
      <c r="Q968" s="102"/>
    </row>
    <row r="969" spans="4:17" x14ac:dyDescent="0.25">
      <c r="D969" s="102"/>
      <c r="E969" s="260"/>
      <c r="F969" s="102"/>
      <c r="G969" s="102"/>
      <c r="H969" s="102"/>
      <c r="I969" s="102"/>
      <c r="J969" s="102"/>
      <c r="K969" s="102"/>
      <c r="L969" s="102"/>
      <c r="M969" s="102"/>
      <c r="N969" s="261"/>
      <c r="O969" s="102"/>
      <c r="P969" s="102"/>
      <c r="Q969" s="102"/>
    </row>
    <row r="970" spans="4:17" x14ac:dyDescent="0.25">
      <c r="D970" s="102"/>
      <c r="E970" s="260"/>
      <c r="F970" s="102"/>
      <c r="G970" s="102"/>
      <c r="H970" s="102"/>
      <c r="I970" s="102"/>
      <c r="J970" s="102"/>
      <c r="K970" s="102"/>
      <c r="L970" s="102"/>
      <c r="M970" s="102"/>
      <c r="N970" s="261"/>
      <c r="O970" s="102"/>
      <c r="P970" s="102"/>
      <c r="Q970" s="102"/>
    </row>
    <row r="971" spans="4:17" x14ac:dyDescent="0.25">
      <c r="D971" s="102"/>
      <c r="E971" s="260"/>
      <c r="F971" s="102"/>
      <c r="G971" s="102"/>
      <c r="H971" s="102"/>
      <c r="I971" s="102"/>
      <c r="J971" s="102"/>
      <c r="K971" s="102"/>
      <c r="L971" s="102"/>
      <c r="M971" s="102"/>
      <c r="N971" s="261"/>
      <c r="O971" s="102"/>
      <c r="P971" s="102"/>
      <c r="Q971" s="102"/>
    </row>
    <row r="972" spans="4:17" x14ac:dyDescent="0.25">
      <c r="D972" s="102"/>
      <c r="E972" s="260"/>
      <c r="F972" s="102"/>
      <c r="G972" s="102"/>
      <c r="H972" s="102"/>
      <c r="I972" s="102"/>
      <c r="J972" s="102"/>
      <c r="K972" s="102"/>
      <c r="L972" s="102"/>
      <c r="M972" s="102"/>
      <c r="N972" s="261"/>
      <c r="O972" s="102"/>
      <c r="P972" s="102"/>
      <c r="Q972" s="102"/>
    </row>
    <row r="973" spans="4:17" x14ac:dyDescent="0.25">
      <c r="D973" s="102"/>
      <c r="E973" s="260"/>
      <c r="F973" s="102"/>
      <c r="G973" s="102"/>
      <c r="H973" s="102"/>
      <c r="I973" s="102"/>
      <c r="J973" s="102"/>
      <c r="K973" s="102"/>
      <c r="L973" s="102"/>
      <c r="M973" s="102"/>
      <c r="N973" s="261"/>
      <c r="O973" s="102"/>
      <c r="P973" s="102"/>
      <c r="Q973" s="102"/>
    </row>
    <row r="974" spans="4:17" x14ac:dyDescent="0.25">
      <c r="D974" s="102"/>
      <c r="E974" s="260"/>
      <c r="F974" s="102"/>
      <c r="G974" s="102"/>
      <c r="H974" s="102"/>
      <c r="I974" s="102"/>
      <c r="J974" s="102"/>
      <c r="K974" s="102"/>
      <c r="L974" s="102"/>
      <c r="M974" s="102"/>
      <c r="N974" s="261"/>
      <c r="O974" s="102"/>
      <c r="P974" s="102"/>
      <c r="Q974" s="102"/>
    </row>
    <row r="975" spans="4:17" x14ac:dyDescent="0.25">
      <c r="D975" s="102"/>
      <c r="E975" s="260"/>
      <c r="F975" s="102"/>
      <c r="G975" s="102"/>
      <c r="H975" s="102"/>
      <c r="I975" s="102"/>
      <c r="J975" s="102"/>
      <c r="K975" s="102"/>
      <c r="L975" s="102"/>
      <c r="M975" s="102"/>
      <c r="N975" s="261"/>
      <c r="O975" s="102"/>
      <c r="P975" s="102"/>
      <c r="Q975" s="102"/>
    </row>
    <row r="976" spans="4:17" x14ac:dyDescent="0.25">
      <c r="D976" s="102"/>
      <c r="E976" s="260"/>
      <c r="F976" s="102"/>
      <c r="G976" s="102"/>
      <c r="H976" s="102"/>
      <c r="I976" s="102"/>
      <c r="J976" s="102"/>
      <c r="K976" s="102"/>
      <c r="L976" s="102"/>
      <c r="M976" s="102"/>
      <c r="N976" s="261"/>
      <c r="O976" s="102"/>
      <c r="P976" s="102"/>
      <c r="Q976" s="102"/>
    </row>
    <row r="977" spans="4:17" x14ac:dyDescent="0.25">
      <c r="D977" s="102"/>
      <c r="E977" s="260"/>
      <c r="F977" s="102"/>
      <c r="G977" s="102"/>
      <c r="H977" s="102"/>
      <c r="I977" s="102"/>
      <c r="J977" s="102"/>
      <c r="K977" s="102"/>
      <c r="L977" s="102"/>
      <c r="M977" s="102"/>
      <c r="N977" s="261"/>
      <c r="O977" s="102"/>
      <c r="P977" s="102"/>
      <c r="Q977" s="102"/>
    </row>
    <row r="978" spans="4:17" x14ac:dyDescent="0.25">
      <c r="D978" s="102"/>
      <c r="E978" s="260"/>
      <c r="F978" s="102"/>
      <c r="G978" s="102"/>
      <c r="H978" s="102"/>
      <c r="I978" s="102"/>
      <c r="J978" s="102"/>
      <c r="K978" s="102"/>
      <c r="L978" s="102"/>
      <c r="M978" s="102"/>
      <c r="N978" s="261"/>
      <c r="O978" s="102"/>
      <c r="P978" s="102"/>
      <c r="Q978" s="102"/>
    </row>
    <row r="979" spans="4:17" x14ac:dyDescent="0.25">
      <c r="D979" s="102"/>
      <c r="E979" s="260"/>
      <c r="F979" s="102"/>
      <c r="G979" s="102"/>
      <c r="H979" s="102"/>
      <c r="I979" s="102"/>
      <c r="J979" s="102"/>
      <c r="K979" s="102"/>
      <c r="L979" s="102"/>
      <c r="M979" s="102"/>
      <c r="N979" s="261"/>
      <c r="O979" s="102"/>
      <c r="P979" s="102"/>
      <c r="Q979" s="102"/>
    </row>
    <row r="980" spans="4:17" x14ac:dyDescent="0.25">
      <c r="D980" s="102"/>
      <c r="E980" s="260"/>
      <c r="F980" s="102"/>
      <c r="G980" s="102"/>
      <c r="H980" s="102"/>
      <c r="I980" s="102"/>
      <c r="J980" s="102"/>
      <c r="K980" s="102"/>
      <c r="L980" s="102"/>
      <c r="M980" s="102"/>
      <c r="N980" s="261"/>
      <c r="O980" s="102"/>
      <c r="P980" s="102"/>
      <c r="Q980" s="102"/>
    </row>
    <row r="981" spans="4:17" x14ac:dyDescent="0.25">
      <c r="D981" s="102"/>
      <c r="E981" s="260"/>
      <c r="F981" s="102"/>
      <c r="G981" s="102"/>
      <c r="H981" s="102"/>
      <c r="I981" s="102"/>
      <c r="J981" s="102"/>
      <c r="K981" s="102"/>
      <c r="L981" s="102"/>
      <c r="M981" s="102"/>
      <c r="N981" s="261"/>
      <c r="O981" s="102"/>
      <c r="P981" s="102"/>
      <c r="Q981" s="102"/>
    </row>
    <row r="982" spans="4:17" x14ac:dyDescent="0.25">
      <c r="D982" s="102"/>
      <c r="E982" s="260"/>
      <c r="F982" s="102"/>
      <c r="G982" s="102"/>
      <c r="H982" s="102"/>
      <c r="I982" s="102"/>
      <c r="J982" s="102"/>
      <c r="K982" s="102"/>
      <c r="L982" s="102"/>
      <c r="M982" s="102"/>
      <c r="N982" s="261"/>
      <c r="O982" s="102"/>
      <c r="P982" s="102"/>
      <c r="Q982" s="102"/>
    </row>
    <row r="983" spans="4:17" x14ac:dyDescent="0.25">
      <c r="D983" s="102"/>
      <c r="E983" s="260"/>
      <c r="F983" s="102"/>
      <c r="G983" s="102"/>
      <c r="H983" s="102"/>
      <c r="I983" s="102"/>
      <c r="J983" s="102"/>
      <c r="K983" s="102"/>
      <c r="L983" s="102"/>
      <c r="M983" s="102"/>
      <c r="N983" s="261"/>
      <c r="O983" s="102"/>
      <c r="P983" s="102"/>
      <c r="Q983" s="102"/>
    </row>
    <row r="984" spans="4:17" x14ac:dyDescent="0.25">
      <c r="D984" s="102"/>
      <c r="E984" s="260"/>
      <c r="F984" s="102"/>
      <c r="G984" s="102"/>
      <c r="H984" s="102"/>
      <c r="I984" s="102"/>
      <c r="J984" s="102"/>
      <c r="K984" s="102"/>
      <c r="L984" s="102"/>
      <c r="M984" s="102"/>
      <c r="N984" s="261"/>
      <c r="O984" s="102"/>
      <c r="P984" s="102"/>
      <c r="Q984" s="102"/>
    </row>
    <row r="985" spans="4:17" x14ac:dyDescent="0.25">
      <c r="D985" s="102"/>
      <c r="E985" s="260"/>
      <c r="F985" s="102"/>
      <c r="G985" s="102"/>
      <c r="H985" s="102"/>
      <c r="I985" s="102"/>
      <c r="J985" s="102"/>
      <c r="K985" s="102"/>
      <c r="L985" s="102"/>
      <c r="M985" s="102"/>
      <c r="N985" s="261"/>
      <c r="O985" s="102"/>
      <c r="P985" s="102"/>
      <c r="Q985" s="102"/>
    </row>
    <row r="986" spans="4:17" x14ac:dyDescent="0.25">
      <c r="D986" s="1"/>
      <c r="E986" s="1"/>
      <c r="F986" s="1"/>
      <c r="G986" s="1"/>
      <c r="H986" s="1"/>
      <c r="I986" s="1"/>
      <c r="J986" s="1"/>
      <c r="K986" s="1"/>
      <c r="L986" s="1"/>
      <c r="M986" s="1"/>
      <c r="N986" s="1"/>
      <c r="O986" s="1"/>
      <c r="P986" s="1"/>
      <c r="Q986" s="1"/>
    </row>
  </sheetData>
  <sheetProtection password="CFA3" sheet="1" objects="1" selectLockedCells="1"/>
  <mergeCells count="24">
    <mergeCell ref="B215:B226"/>
    <mergeCell ref="B227:B238"/>
    <mergeCell ref="B239:B250"/>
    <mergeCell ref="B143:B154"/>
    <mergeCell ref="B155:B166"/>
    <mergeCell ref="B167:B178"/>
    <mergeCell ref="B179:B190"/>
    <mergeCell ref="B23:B34"/>
    <mergeCell ref="B35:B46"/>
    <mergeCell ref="B203:B214"/>
    <mergeCell ref="B119:B130"/>
    <mergeCell ref="B131:B142"/>
    <mergeCell ref="B47:B58"/>
    <mergeCell ref="B59:B70"/>
    <mergeCell ref="E6:O6"/>
    <mergeCell ref="B191:B202"/>
    <mergeCell ref="P6:W6"/>
    <mergeCell ref="M2:X4"/>
    <mergeCell ref="B71:B82"/>
    <mergeCell ref="B83:B94"/>
    <mergeCell ref="B95:B106"/>
    <mergeCell ref="B107:B118"/>
    <mergeCell ref="E10:I10"/>
    <mergeCell ref="B11:B22"/>
  </mergeCells>
  <phoneticPr fontId="0" type="noConversion"/>
  <dataValidations xWindow="605" yWindow="541" count="18">
    <dataValidation type="whole" errorStyle="warning" allowBlank="1" showInputMessage="1" showErrorMessage="1" errorTitle="Correct Number" error="Should be a whole number between 1 and 30" sqref="P251:Q985 O251:O985">
      <formula1>1</formula1>
      <formula2>38</formula2>
    </dataValidation>
    <dataValidation type="decimal" errorStyle="warning" allowBlank="1" showInputMessage="1" showErrorMessage="1" errorTitle="Correct Distance?" error="Should be between 0.01 metres and 2.80 metres " sqref="J251:J985">
      <formula1>0.01</formula1>
      <formula2>3</formula2>
    </dataValidation>
    <dataValidation type="whole" errorStyle="warning" allowBlank="1" showInputMessage="1" showErrorMessage="1" errorTitle="Correct Number?" error="Should be a whole number between 1 and 70" sqref="K251:K985">
      <formula1>1</formula1>
      <formula2>70</formula2>
    </dataValidation>
    <dataValidation type="whole" errorStyle="warning" allowBlank="1" showInputMessage="1" showErrorMessage="1" errorTitle="Correct Number" error="Should be a whole number between 0 and 24_x000a_" sqref="L251:L985">
      <formula1>0</formula1>
      <formula2>24</formula2>
    </dataValidation>
    <dataValidation type="decimal" errorStyle="warning" allowBlank="1" showInputMessage="1" showErrorMessage="1" errorTitle="Correct Number" error="Number should be a decimal between 10.0 and 50.0" sqref="M251:M985">
      <formula1>10</formula1>
      <formula2>50</formula2>
    </dataValidation>
    <dataValidation type="decimal" errorStyle="warning" allowBlank="1" showInputMessage="1" showErrorMessage="1" errorTitle="Correct Number?" error="Should be a decimal number between 0.25 and 14.00" sqref="N251:N985">
      <formula1>0.25</formula1>
      <formula2>14</formula2>
    </dataValidation>
    <dataValidation type="list" errorStyle="warning" allowBlank="1" showInputMessage="1" showErrorMessage="1" errorTitle="Gender" error="Gender should either be 'Boy' or 'Girl'" sqref="H251:I985">
      <formula1>$AH$12:$AH$13</formula1>
    </dataValidation>
    <dataValidation type="list" allowBlank="1" sqref="G251:G985">
      <formula1>$AI$12:$AI$83</formula1>
    </dataValidation>
    <dataValidation type="whole" errorStyle="warning" allowBlank="1" showInputMessage="1" showErrorMessage="1" error="Should be a whole number between 1 and 20" sqref="D11:D985">
      <formula1>1</formula1>
      <formula2>20</formula2>
    </dataValidation>
    <dataValidation type="decimal" errorStyle="warning" allowBlank="1" showInputMessage="1" showErrorMessage="1" errorTitle="Incorrect Distance" error="The distance should be entered to two decimal places between 0.01 metres and 4.00 metres " sqref="J11:J250">
      <formula1>0.01</formula1>
      <formula2>4</formula2>
    </dataValidation>
    <dataValidation type="decimal" errorStyle="warning" allowBlank="1" showInputMessage="1" showErrorMessage="1" errorTitle="Incorrect Time" error="Number should be to one decimal place between 10.0 and 70.0 (not 10.11)." sqref="M12:M250">
      <formula1>8</formula1>
      <formula2>90</formula2>
    </dataValidation>
    <dataValidation type="whole" errorStyle="warning" allowBlank="1" showInputMessage="1" showErrorMessage="1" errorTitle="Incorrect Year Group" error="Year Group should be a whole number between 1 and 13" sqref="F11:F250">
      <formula1>1</formula1>
      <formula2>13</formula2>
    </dataValidation>
    <dataValidation type="whole" errorStyle="warning" allowBlank="1" showInputMessage="1" showErrorMessage="1" errorTitle="Incorrect Group Number" error="Disability Group should be a whole number between 1 and 4" sqref="I11:I250">
      <formula1>1</formula1>
      <formula2>4</formula2>
    </dataValidation>
    <dataValidation type="whole" errorStyle="warning" allowBlank="1" showInputMessage="1" showErrorMessage="1" errorTitle="Incorrect Number" error="Should be a whole number between 1 and 70." sqref="K11:K250">
      <formula1>1</formula1>
      <formula2>70</formula2>
    </dataValidation>
    <dataValidation type="whole" errorStyle="warning" allowBlank="1" showInputMessage="1" showErrorMessage="1" errorTitle="Incorrect Number" error="Should be a whole number between 0 and 24._x000a_" sqref="L11:L250">
      <formula1>0</formula1>
      <formula2>24</formula2>
    </dataValidation>
    <dataValidation type="decimal" errorStyle="warning" allowBlank="1" showInputMessage="1" showErrorMessage="1" errorTitle="Incorrect Distance" error="Should be a decimal number between 0.25 and 14.00._x000a_(Only in 0.25 bands)" sqref="N11:N250">
      <formula1>0.25</formula1>
      <formula2>14</formula2>
    </dataValidation>
    <dataValidation type="whole" errorStyle="warning" allowBlank="1" showInputMessage="1" showErrorMessage="1" errorTitle="Incorrect Distance" error="Should be a whole number between 1 and 30." sqref="O11:O250">
      <formula1>1</formula1>
      <formula2>38</formula2>
    </dataValidation>
    <dataValidation type="decimal" errorStyle="warning" allowBlank="1" showInputMessage="1" showErrorMessage="1" errorTitle="Incorrect Time" error="Number should be to one decimal place between 10.0 and 70.0 (not 10.11)." promptTitle="Formatting" prompt="Times should be entered to one decimal place 10.1 rather than two decimal places 10.11." sqref="M11">
      <formula1>8</formula1>
      <formula2>90</formula2>
    </dataValidation>
  </dataValidations>
  <pageMargins left="0.18" right="0.18" top="0.28000000000000003" bottom="0.28999999999999998" header="0.23" footer="0.25"/>
  <pageSetup paperSize="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V32"/>
  <sheetViews>
    <sheetView showGridLines="0" showRowColHeaders="0" zoomScale="75" zoomScaleNormal="75" workbookViewId="0">
      <selection activeCell="C11" sqref="C11"/>
    </sheetView>
  </sheetViews>
  <sheetFormatPr defaultRowHeight="12.5" x14ac:dyDescent="0.25"/>
  <cols>
    <col min="1" max="1" width="1.81640625" customWidth="1"/>
    <col min="2" max="2" width="35.54296875" customWidth="1"/>
    <col min="3" max="3" width="11.7265625" customWidth="1"/>
    <col min="4" max="5" width="8.453125" customWidth="1"/>
    <col min="6" max="6" width="11.7265625" customWidth="1"/>
    <col min="7" max="8" width="8.453125" customWidth="1"/>
    <col min="9" max="9" width="11.7265625" customWidth="1"/>
    <col min="10" max="11" width="8.453125" customWidth="1"/>
    <col min="12" max="12" width="8.81640625" hidden="1" customWidth="1"/>
    <col min="13" max="13" width="13.7265625" customWidth="1"/>
    <col min="17" max="17" width="0" hidden="1" customWidth="1"/>
  </cols>
  <sheetData>
    <row r="1" spans="2:22" ht="9" customHeight="1" x14ac:dyDescent="0.25">
      <c r="C1" s="3"/>
      <c r="D1" s="3"/>
      <c r="E1" s="3"/>
      <c r="Q1">
        <f>'Competition Menu'!H11</f>
        <v>10</v>
      </c>
      <c r="V1" s="1"/>
    </row>
    <row r="2" spans="2:22" ht="12.75" customHeight="1" x14ac:dyDescent="0.25">
      <c r="C2" s="3"/>
      <c r="D2" s="3"/>
      <c r="E2" s="3"/>
      <c r="H2" s="638" t="s">
        <v>6163</v>
      </c>
      <c r="I2" s="639"/>
      <c r="J2" s="639"/>
      <c r="K2" s="639"/>
      <c r="L2" s="639"/>
      <c r="M2" s="639"/>
      <c r="O2" s="5"/>
      <c r="P2" s="5"/>
    </row>
    <row r="3" spans="2:22" x14ac:dyDescent="0.25">
      <c r="C3" s="3"/>
      <c r="D3" s="3"/>
      <c r="E3" s="3"/>
      <c r="H3" s="639"/>
      <c r="I3" s="639"/>
      <c r="J3" s="639"/>
      <c r="K3" s="639"/>
      <c r="L3" s="639"/>
      <c r="M3" s="639"/>
      <c r="O3" s="5"/>
      <c r="P3" s="5"/>
    </row>
    <row r="4" spans="2:22" x14ac:dyDescent="0.25">
      <c r="C4" s="3"/>
      <c r="D4" s="3"/>
      <c r="E4" s="3"/>
      <c r="H4" s="639"/>
      <c r="I4" s="639"/>
      <c r="J4" s="639"/>
      <c r="K4" s="639"/>
      <c r="L4" s="639"/>
      <c r="M4" s="639"/>
      <c r="O4" s="5"/>
      <c r="P4" s="5"/>
    </row>
    <row r="5" spans="2:22" x14ac:dyDescent="0.25">
      <c r="C5" s="3"/>
      <c r="D5" s="3"/>
      <c r="E5" s="3"/>
      <c r="H5" s="639" t="s">
        <v>6162</v>
      </c>
      <c r="I5" s="639"/>
      <c r="J5" s="639"/>
      <c r="K5" s="639"/>
      <c r="L5" s="639"/>
      <c r="M5" s="639"/>
      <c r="O5" s="5"/>
      <c r="P5" s="5"/>
    </row>
    <row r="6" spans="2:22" x14ac:dyDescent="0.25">
      <c r="C6" s="3"/>
      <c r="D6" s="3"/>
      <c r="E6" s="3"/>
      <c r="H6" s="639"/>
      <c r="I6" s="639"/>
      <c r="J6" s="639"/>
      <c r="K6" s="639"/>
      <c r="L6" s="639"/>
      <c r="M6" s="639"/>
      <c r="O6" s="5"/>
      <c r="P6" s="5"/>
    </row>
    <row r="7" spans="2:22" x14ac:dyDescent="0.25">
      <c r="C7" s="3"/>
      <c r="D7" s="3"/>
      <c r="E7" s="3"/>
      <c r="H7" s="639"/>
      <c r="I7" s="639"/>
      <c r="J7" s="639"/>
      <c r="K7" s="639"/>
      <c r="L7" s="639"/>
      <c r="M7" s="639"/>
      <c r="O7" s="5"/>
      <c r="P7" s="5"/>
    </row>
    <row r="8" spans="2:22" ht="9" customHeight="1" x14ac:dyDescent="0.25">
      <c r="C8" s="3"/>
      <c r="D8" s="3"/>
      <c r="E8" s="3"/>
      <c r="H8" s="5"/>
      <c r="I8" s="5"/>
      <c r="J8" s="5"/>
      <c r="K8" s="5"/>
      <c r="L8" s="5"/>
      <c r="M8" s="5"/>
      <c r="O8" s="5"/>
      <c r="P8" s="5"/>
    </row>
    <row r="9" spans="2:22" ht="20.25" customHeight="1" thickBot="1" x14ac:dyDescent="0.3">
      <c r="C9" s="640" t="s">
        <v>74</v>
      </c>
      <c r="D9" s="641"/>
      <c r="E9" s="641"/>
      <c r="F9" s="641" t="s">
        <v>75</v>
      </c>
      <c r="G9" s="641"/>
      <c r="H9" s="641"/>
      <c r="I9" s="641" t="s">
        <v>76</v>
      </c>
      <c r="J9" s="641"/>
      <c r="K9" s="641"/>
      <c r="L9" s="285"/>
      <c r="M9" s="642" t="s">
        <v>30</v>
      </c>
      <c r="O9" s="5"/>
      <c r="P9" s="5"/>
      <c r="Q9" s="5"/>
      <c r="R9" s="5"/>
      <c r="S9" s="5"/>
      <c r="T9" s="5"/>
      <c r="V9" s="1"/>
    </row>
    <row r="10" spans="2:22" ht="20.25" customHeight="1" thickBot="1" x14ac:dyDescent="0.3">
      <c r="B10" s="265"/>
      <c r="C10" s="267" t="s">
        <v>71</v>
      </c>
      <c r="D10" s="268" t="s">
        <v>78</v>
      </c>
      <c r="E10" s="269" t="s">
        <v>77</v>
      </c>
      <c r="F10" s="270" t="s">
        <v>71</v>
      </c>
      <c r="G10" s="268" t="s">
        <v>78</v>
      </c>
      <c r="H10" s="269" t="s">
        <v>77</v>
      </c>
      <c r="I10" s="270" t="s">
        <v>71</v>
      </c>
      <c r="J10" s="271" t="s">
        <v>78</v>
      </c>
      <c r="K10" s="272" t="s">
        <v>77</v>
      </c>
      <c r="L10" s="286"/>
      <c r="M10" s="643"/>
    </row>
    <row r="11" spans="2:22" ht="21" customHeight="1" x14ac:dyDescent="0.25">
      <c r="B11" s="522" t="str">
        <f>'Competition Menu'!C11</f>
        <v>Team 1</v>
      </c>
      <c r="C11" s="526"/>
      <c r="D11" s="532" t="str">
        <f>IF(C11=0," ",RANK(C11,($C$11,$C$12,$C$13,$C$14,$C$15,$C$16,$C$17,$C$18,$C$19,$C$20,$C$21,$C$22,$C$23,$C$24,$C$25,$C$26,$C$27,$C$28,$C$29,$C$30),1))</f>
        <v xml:space="preserve"> </v>
      </c>
      <c r="E11" s="533" t="str">
        <f>IF(D11&gt;0,IF(ISERROR(('Team Scores'!$C$1*2)-((D11-1)*2))," ",(('Team Scores'!$C$1*2)-((D11-1)*2))))</f>
        <v xml:space="preserve"> </v>
      </c>
      <c r="F11" s="529"/>
      <c r="G11" s="538" t="str">
        <f>IF(F11=0," ",RANK(F11,($F$11,$F$12,$F$13,$F$14,$F$15,$F$16,$F$17,$F$18,$F$19,$F$20,$F$21,$F$22,$F$23,$F$24,$F$25,$F$26,$F$27,$F$28,$F$29,$F$30),1))</f>
        <v xml:space="preserve"> </v>
      </c>
      <c r="H11" s="539" t="str">
        <f>IF(G11&gt;0,IF(ISERROR(('Team Scores'!$C$1*2)-((G11-1)*2))," ",(('Team Scores'!$C$1*2)-((G11-1)*2))))</f>
        <v xml:space="preserve"> </v>
      </c>
      <c r="I11" s="529"/>
      <c r="J11" s="532" t="str">
        <f>IF(I11=0," ",RANK(I11,($I$11,$I$12,$I$13,$I$14,$I$15,$I$16,$I$17,$I$18,$I$19,$I$20,$I$21,$I$22,$I$23,$I$24,$I$25,$I$26,$I$27,$I$28,$I$29,$I$30),1))</f>
        <v xml:space="preserve"> </v>
      </c>
      <c r="K11" s="539" t="str">
        <f>IF(J11&gt;0,IF(ISERROR(('Team Scores'!$C$1*2)-((J11-1)*2))," ",(('Team Scores'!$C$1*2)-((J11-1)*2))))</f>
        <v xml:space="preserve"> </v>
      </c>
      <c r="L11" s="539">
        <f>SUM(E11,H11,K11)</f>
        <v>0</v>
      </c>
      <c r="M11" s="543" t="str">
        <f>IF(L11&gt;0,L11," ")</f>
        <v xml:space="preserve"> </v>
      </c>
    </row>
    <row r="12" spans="2:22" ht="21" customHeight="1" x14ac:dyDescent="0.25">
      <c r="B12" s="523" t="str">
        <f>'Competition Menu'!C12</f>
        <v>Team 2</v>
      </c>
      <c r="C12" s="527"/>
      <c r="D12" s="534" t="str">
        <f>IF(C12=0," ",RANK(C12,($C$11,$C$12,$C$13,$C$14,$C$15,$C$16,$C$17,$C$18,$C$19,$C$20,$C$21,$C$22,$C$23,$C$24,$C$25,$C$26,$C$27,$C$28,$C$29,$C$30),1))</f>
        <v xml:space="preserve"> </v>
      </c>
      <c r="E12" s="535" t="str">
        <f>IF(D12&gt;0,IF(ISERROR(('Team Scores'!$C$1*2)-((D12-1)*2))," ",(('Team Scores'!$C$1*2)-((D12-1)*2))))</f>
        <v xml:space="preserve"> </v>
      </c>
      <c r="F12" s="530"/>
      <c r="G12" s="540" t="str">
        <f>IF(F12=0," ",RANK(F12,($F$11,$F$12,$F$13,$F$14,$F$15,$F$16,$F$17,$F$18,$F$19,$F$20,$F$21,$F$22,$F$23,$F$24,$F$25,$F$26,$F$27,$F$28,$F$29,$F$30),1))</f>
        <v xml:space="preserve"> </v>
      </c>
      <c r="H12" s="541" t="str">
        <f>IF(G12&gt;0,IF(ISERROR(('Team Scores'!$C$1*2)-((G12-1)*2))," ",(('Team Scores'!$C$1*2)-((G12-1)*2))))</f>
        <v xml:space="preserve"> </v>
      </c>
      <c r="I12" s="530"/>
      <c r="J12" s="534" t="str">
        <f>IF(I12=0," ",RANK(I12,($I$11,$I$12,$I$13,$I$14,$I$15,$I$16,$I$17,$I$18,$I$19,$I$20,$I$21,$I$22,$I$23,$I$24,$I$25,$I$26,$I$27,$I$28,$I$29,$I$30),1))</f>
        <v xml:space="preserve"> </v>
      </c>
      <c r="K12" s="541" t="str">
        <f>IF(J12&gt;0,IF(ISERROR(('Team Scores'!$C$1*2)-((J12-1)*2))," ",(('Team Scores'!$C$1*2)-((J12-1)*2))))</f>
        <v xml:space="preserve"> </v>
      </c>
      <c r="L12" s="541">
        <f t="shared" ref="L12:L30" si="0">SUM(E12,H12,K12)</f>
        <v>0</v>
      </c>
      <c r="M12" s="544" t="str">
        <f t="shared" ref="M12:M30" si="1">IF(L12&gt;0,L12," ")</f>
        <v xml:space="preserve"> </v>
      </c>
    </row>
    <row r="13" spans="2:22" ht="21" customHeight="1" x14ac:dyDescent="0.25">
      <c r="B13" s="523" t="str">
        <f>'Competition Menu'!C13</f>
        <v>Team 3</v>
      </c>
      <c r="C13" s="527"/>
      <c r="D13" s="534" t="str">
        <f>IF(C13=0," ",RANK(C13,($C$11,$C$12,$C$13,$C$14,$C$15,$C$16,$C$17,$C$18,$C$19,$C$20,$C$21,$C$22,$C$23,$C$24,$C$25,$C$26,$C$27,$C$28,$C$29,$C$30),1))</f>
        <v xml:space="preserve"> </v>
      </c>
      <c r="E13" s="535" t="str">
        <f>IF(D13&gt;0,IF(ISERROR(('Team Scores'!$C$1*2)-((D13-1)*2))," ",(('Team Scores'!$C$1*2)-((D13-1)*2))))</f>
        <v xml:space="preserve"> </v>
      </c>
      <c r="F13" s="530"/>
      <c r="G13" s="540" t="str">
        <f>IF(F13=0," ",RANK(F13,($F$11,$F$12,$F$13,$F$14,$F$15,$F$16,$F$17,$F$18,$F$19,$F$20,$F$21,$F$22,$F$23,$F$24,$F$25,$F$26,$F$27,$F$28,$F$29,$F$30),1))</f>
        <v xml:space="preserve"> </v>
      </c>
      <c r="H13" s="541" t="str">
        <f>IF(G13&gt;0,IF(ISERROR(('Team Scores'!$C$1*2)-((G13-1)*2))," ",(('Team Scores'!$C$1*2)-((G13-1)*2))))</f>
        <v xml:space="preserve"> </v>
      </c>
      <c r="I13" s="530"/>
      <c r="J13" s="534" t="str">
        <f>IF(I13=0," ",RANK(I13,($I$11,$I$12,$I$13,$I$14,$I$15,$I$16,$I$17,$I$18,$I$19,$I$20,$I$21,$I$22,$I$23,$I$24,$I$25,$I$26,$I$27,$I$28,$I$29,$I$30),1))</f>
        <v xml:space="preserve"> </v>
      </c>
      <c r="K13" s="541" t="str">
        <f>IF(J13&gt;0,IF(ISERROR(('Team Scores'!$C$1*2)-((J13-1)*2))," ",(('Team Scores'!$C$1*2)-((J13-1)*2))))</f>
        <v xml:space="preserve"> </v>
      </c>
      <c r="L13" s="541">
        <f t="shared" si="0"/>
        <v>0</v>
      </c>
      <c r="M13" s="544" t="str">
        <f t="shared" si="1"/>
        <v xml:space="preserve"> </v>
      </c>
    </row>
    <row r="14" spans="2:22" ht="21" customHeight="1" x14ac:dyDescent="0.25">
      <c r="B14" s="523" t="str">
        <f>'Competition Menu'!C14</f>
        <v>Team 4</v>
      </c>
      <c r="C14" s="527"/>
      <c r="D14" s="534" t="str">
        <f>IF(C14=0," ",RANK(C14,($C$11,$C$12,$C$13,$C$14,$C$15,$C$16,$C$17,$C$18,$C$19,$C$20,$C$21,$C$22,$C$23,$C$24,$C$25,$C$26,$C$27,$C$28,$C$29,$C$30),1))</f>
        <v xml:space="preserve"> </v>
      </c>
      <c r="E14" s="535" t="str">
        <f>IF(D14&gt;0,IF(ISERROR(('Team Scores'!$C$1*2)-((D14-1)*2))," ",(('Team Scores'!$C$1*2)-((D14-1)*2))))</f>
        <v xml:space="preserve"> </v>
      </c>
      <c r="F14" s="530"/>
      <c r="G14" s="540" t="str">
        <f>IF(F14=0," ",RANK(F14,($F$11,$F$12,$F$13,$F$14,$F$15,$F$16,$F$17,$F$18,$F$19,$F$20,$F$21,$F$22,$F$23,$F$24,$F$25,$F$26,$F$27,$F$28,$F$29,$F$30),1))</f>
        <v xml:space="preserve"> </v>
      </c>
      <c r="H14" s="541" t="str">
        <f>IF(G14&gt;0,IF(ISERROR(('Team Scores'!$C$1*2)-((G14-1)*2))," ",(('Team Scores'!$C$1*2)-((G14-1)*2))))</f>
        <v xml:space="preserve"> </v>
      </c>
      <c r="I14" s="530"/>
      <c r="J14" s="534" t="str">
        <f>IF(I14=0," ",RANK(I14,($I$11,$I$12,$I$13,$I$14,$I$15,$I$16,$I$17,$I$18,$I$19,$I$20,$I$21,$I$22,$I$23,$I$24,$I$25,$I$26,$I$27,$I$28,$I$29,$I$30),1))</f>
        <v xml:space="preserve"> </v>
      </c>
      <c r="K14" s="541" t="str">
        <f>IF(J14&gt;0,IF(ISERROR(('Team Scores'!$C$1*2)-((J14-1)*2))," ",(('Team Scores'!$C$1*2)-((J14-1)*2))))</f>
        <v xml:space="preserve"> </v>
      </c>
      <c r="L14" s="541">
        <f t="shared" si="0"/>
        <v>0</v>
      </c>
      <c r="M14" s="544" t="str">
        <f t="shared" si="1"/>
        <v xml:space="preserve"> </v>
      </c>
    </row>
    <row r="15" spans="2:22" ht="21" customHeight="1" x14ac:dyDescent="0.25">
      <c r="B15" s="523" t="str">
        <f>'Competition Menu'!C15</f>
        <v>Team 5</v>
      </c>
      <c r="C15" s="527"/>
      <c r="D15" s="534" t="str">
        <f>IF(C15=0," ",RANK(C15,($C$11,$C$12,$C$13,$C$14,$C$15,$C$16,$C$17,$C$18,$C$19,$C$20,$C$21,$C$22,$C$23,$C$24,$C$25,$C$26,$C$27,$C$28,$C$29,$C$30),1))</f>
        <v xml:space="preserve"> </v>
      </c>
      <c r="E15" s="535" t="str">
        <f>IF(D15&gt;0,IF(ISERROR(('Team Scores'!$C$1*2)-((D15-1)*2))," ",(('Team Scores'!$C$1*2)-((D15-1)*2))))</f>
        <v xml:space="preserve"> </v>
      </c>
      <c r="F15" s="530"/>
      <c r="G15" s="540" t="str">
        <f>IF(F15=0," ",RANK(F15,($F$11,$F$12,$F$13,$F$14,$F$15,$F$16,$F$17,$F$18,$F$19,$F$20,$F$21,$F$22,$F$23,$F$24,$F$25,$F$26,$F$27,$F$28,$F$29,$F$30),1))</f>
        <v xml:space="preserve"> </v>
      </c>
      <c r="H15" s="541" t="str">
        <f>IF(G15&gt;0,IF(ISERROR(('Team Scores'!$C$1*2)-((G15-1)*2))," ",(('Team Scores'!$C$1*2)-((G15-1)*2))))</f>
        <v xml:space="preserve"> </v>
      </c>
      <c r="I15" s="530"/>
      <c r="J15" s="534" t="str">
        <f>IF(I15=0," ",RANK(I15,($I$11,$I$12,$I$13,$I$14,$I$15,$I$16,$I$17,$I$18,$I$19,$I$20,$I$21,$I$22,$I$23,$I$24,$I$25,$I$26,$I$27,$I$28,$I$29,$I$30),1))</f>
        <v xml:space="preserve"> </v>
      </c>
      <c r="K15" s="541" t="str">
        <f>IF(J15&gt;0,IF(ISERROR(('Team Scores'!$C$1*2)-((J15-1)*2))," ",(('Team Scores'!$C$1*2)-((J15-1)*2))))</f>
        <v xml:space="preserve"> </v>
      </c>
      <c r="L15" s="541">
        <f t="shared" si="0"/>
        <v>0</v>
      </c>
      <c r="M15" s="544" t="str">
        <f t="shared" si="1"/>
        <v xml:space="preserve"> </v>
      </c>
    </row>
    <row r="16" spans="2:22" ht="21" customHeight="1" x14ac:dyDescent="0.25">
      <c r="B16" s="523" t="str">
        <f>'Competition Menu'!C16</f>
        <v>Team 6</v>
      </c>
      <c r="C16" s="527"/>
      <c r="D16" s="534" t="str">
        <f>IF(C16=0," ",RANK(C16,($C$11,$C$12,$C$13,$C$14,$C$15,$C$16,$C$17,$C$18,$C$19,$C$20,$C$21,$C$22,$C$23,$C$24,$C$25,$C$26,$C$27,$C$28,$C$29,$C$30),1))</f>
        <v xml:space="preserve"> </v>
      </c>
      <c r="E16" s="535" t="str">
        <f>IF(D16&gt;0,IF(ISERROR(('Team Scores'!$C$1*2)-((D16-1)*2))," ",(('Team Scores'!$C$1*2)-((D16-1)*2))))</f>
        <v xml:space="preserve"> </v>
      </c>
      <c r="F16" s="530"/>
      <c r="G16" s="540" t="str">
        <f>IF(F16=0," ",RANK(F16,($F$11,$F$12,$F$13,$F$14,$F$15,$F$16,$F$17,$F$18,$F$19,$F$20,$F$21,$F$22,$F$23,$F$24,$F$25,$F$26,$F$27,$F$28,$F$29,$F$30),1))</f>
        <v xml:space="preserve"> </v>
      </c>
      <c r="H16" s="541" t="str">
        <f>IF(G16&gt;0,IF(ISERROR(('Team Scores'!$C$1*2)-((G16-1)*2))," ",(('Team Scores'!$C$1*2)-((G16-1)*2))))</f>
        <v xml:space="preserve"> </v>
      </c>
      <c r="I16" s="530"/>
      <c r="J16" s="534" t="str">
        <f>IF(I16=0," ",RANK(I16,($I$11,$I$12,$I$13,$I$14,$I$15,$I$16,$I$17,$I$18,$I$19,$I$20,$I$21,$I$22,$I$23,$I$24,$I$25,$I$26,$I$27,$I$28,$I$29,$I$30),1))</f>
        <v xml:space="preserve"> </v>
      </c>
      <c r="K16" s="541" t="str">
        <f>IF(J16&gt;0,IF(ISERROR(('Team Scores'!$C$1*2)-((J16-1)*2))," ",(('Team Scores'!$C$1*2)-((J16-1)*2))))</f>
        <v xml:space="preserve"> </v>
      </c>
      <c r="L16" s="541">
        <f t="shared" si="0"/>
        <v>0</v>
      </c>
      <c r="M16" s="544" t="str">
        <f t="shared" si="1"/>
        <v xml:space="preserve"> </v>
      </c>
    </row>
    <row r="17" spans="2:13" ht="21" customHeight="1" x14ac:dyDescent="0.25">
      <c r="B17" s="523" t="str">
        <f>'Competition Menu'!C17</f>
        <v>Team 7</v>
      </c>
      <c r="C17" s="527"/>
      <c r="D17" s="534" t="str">
        <f>IF(C17=0," ",RANK(C17,($C$11,$C$12,$C$13,$C$14,$C$15,$C$16,$C$17,$C$18,$C$19,$C$20,$C$21,$C$22,$C$23,$C$24,$C$25,$C$26,$C$27,$C$28,$C$29,$C$30),1))</f>
        <v xml:space="preserve"> </v>
      </c>
      <c r="E17" s="535" t="str">
        <f>IF(D17&gt;0,IF(ISERROR(('Team Scores'!$C$1*2)-((D17-1)*2))," ",(('Team Scores'!$C$1*2)-((D17-1)*2))))</f>
        <v xml:space="preserve"> </v>
      </c>
      <c r="F17" s="530"/>
      <c r="G17" s="540" t="str">
        <f>IF(F17=0," ",RANK(F17,($F$11,$F$12,$F$13,$F$14,$F$15,$F$16,$F$17,$F$18,$F$19,$F$20,$F$21,$F$22,$F$23,$F$24,$F$25,$F$26,$F$27,$F$28,$F$29,$F$30),1))</f>
        <v xml:space="preserve"> </v>
      </c>
      <c r="H17" s="541" t="str">
        <f>IF(G17&gt;0,IF(ISERROR(('Team Scores'!$C$1*2)-((G17-1)*2))," ",(('Team Scores'!$C$1*2)-((G17-1)*2))))</f>
        <v xml:space="preserve"> </v>
      </c>
      <c r="I17" s="530"/>
      <c r="J17" s="534" t="str">
        <f>IF(I17=0," ",RANK(I17,($I$11,$I$12,$I$13,$I$14,$I$15,$I$16,$I$17,$I$18,$I$19,$I$20,$I$21,$I$22,$I$23,$I$24,$I$25,$I$26,$I$27,$I$28,$I$29,$I$30),1))</f>
        <v xml:space="preserve"> </v>
      </c>
      <c r="K17" s="541" t="str">
        <f>IF(J17&gt;0,IF(ISERROR(('Team Scores'!$C$1*2)-((J17-1)*2))," ",(('Team Scores'!$C$1*2)-((J17-1)*2))))</f>
        <v xml:space="preserve"> </v>
      </c>
      <c r="L17" s="541">
        <f t="shared" si="0"/>
        <v>0</v>
      </c>
      <c r="M17" s="544" t="str">
        <f t="shared" si="1"/>
        <v xml:space="preserve"> </v>
      </c>
    </row>
    <row r="18" spans="2:13" ht="21" customHeight="1" x14ac:dyDescent="0.25">
      <c r="B18" s="523" t="str">
        <f>'Competition Menu'!C18</f>
        <v>Team 8</v>
      </c>
      <c r="C18" s="527"/>
      <c r="D18" s="534" t="str">
        <f>IF(C18=0," ",RANK(C18,($C$11,$C$12,$C$13,$C$14,$C$15,$C$16,$C$17,$C$18,$C$19,$C$20,$C$21,$C$22,$C$23,$C$24,$C$25,$C$26,$C$27,$C$28,$C$29,$C$30),1))</f>
        <v xml:space="preserve"> </v>
      </c>
      <c r="E18" s="535" t="str">
        <f>IF(D18&gt;0,IF(ISERROR(('Team Scores'!$C$1*2)-((D18-1)*2))," ",(('Team Scores'!$C$1*2)-((D18-1)*2))))</f>
        <v xml:space="preserve"> </v>
      </c>
      <c r="F18" s="530"/>
      <c r="G18" s="540" t="str">
        <f>IF(F18=0," ",RANK(F18,($F$11,$F$12,$F$13,$F$14,$F$15,$F$16,$F$17,$F$18,$F$19,$F$20,$F$21,$F$22,$F$23,$F$24,$F$25,$F$26,$F$27,$F$28,$F$29,$F$30),1))</f>
        <v xml:space="preserve"> </v>
      </c>
      <c r="H18" s="541" t="str">
        <f>IF(G18&gt;0,IF(ISERROR(('Team Scores'!$C$1*2)-((G18-1)*2))," ",(('Team Scores'!$C$1*2)-((G18-1)*2))))</f>
        <v xml:space="preserve"> </v>
      </c>
      <c r="I18" s="530"/>
      <c r="J18" s="534" t="str">
        <f>IF(I18=0," ",RANK(I18,($I$11,$I$12,$I$13,$I$14,$I$15,$I$16,$I$17,$I$18,$I$19,$I$20,$I$21,$I$22,$I$23,$I$24,$I$25,$I$26,$I$27,$I$28,$I$29,$I$30),1))</f>
        <v xml:space="preserve"> </v>
      </c>
      <c r="K18" s="541" t="str">
        <f>IF(J18&gt;0,IF(ISERROR(('Team Scores'!$C$1*2)-((J18-1)*2))," ",(('Team Scores'!$C$1*2)-((J18-1)*2))))</f>
        <v xml:space="preserve"> </v>
      </c>
      <c r="L18" s="541">
        <f t="shared" si="0"/>
        <v>0</v>
      </c>
      <c r="M18" s="544" t="str">
        <f t="shared" si="1"/>
        <v xml:space="preserve"> </v>
      </c>
    </row>
    <row r="19" spans="2:13" ht="21" customHeight="1" x14ac:dyDescent="0.25">
      <c r="B19" s="523" t="str">
        <f>'Competition Menu'!C19</f>
        <v>Team 9</v>
      </c>
      <c r="C19" s="527"/>
      <c r="D19" s="534" t="str">
        <f>IF(C19=0," ",RANK(C19,($C$11,$C$12,$C$13,$C$14,$C$15,$C$16,$C$17,$C$18,$C$19,$C$20,$C$21,$C$22,$C$23,$C$24,$C$25,$C$26,$C$27,$C$28,$C$29,$C$30),1))</f>
        <v xml:space="preserve"> </v>
      </c>
      <c r="E19" s="535" t="str">
        <f>IF(D19&gt;0,IF(ISERROR(('Team Scores'!$C$1*2)-((D19-1)*2))," ",(('Team Scores'!$C$1*2)-((D19-1)*2))))</f>
        <v xml:space="preserve"> </v>
      </c>
      <c r="F19" s="530"/>
      <c r="G19" s="540" t="str">
        <f>IF(F19=0," ",RANK(F19,($F$11,$F$12,$F$13,$F$14,$F$15,$F$16,$F$17,$F$18,$F$19,$F$20,$F$21,$F$22,$F$23,$F$24,$F$25,$F$26,$F$27,$F$28,$F$29,$F$30),1))</f>
        <v xml:space="preserve"> </v>
      </c>
      <c r="H19" s="541" t="str">
        <f>IF(G19&gt;0,IF(ISERROR(('Team Scores'!$C$1*2)-((G19-1)*2))," ",(('Team Scores'!$C$1*2)-((G19-1)*2))))</f>
        <v xml:space="preserve"> </v>
      </c>
      <c r="I19" s="530"/>
      <c r="J19" s="534" t="str">
        <f>IF(I19=0," ",RANK(I19,($I$11,$I$12,$I$13,$I$14,$I$15,$I$16,$I$17,$I$18,$I$19,$I$20,$I$21,$I$22,$I$23,$I$24,$I$25,$I$26,$I$27,$I$28,$I$29,$I$30),1))</f>
        <v xml:space="preserve"> </v>
      </c>
      <c r="K19" s="541" t="str">
        <f>IF(J19&gt;0,IF(ISERROR(('Team Scores'!$C$1*2)-((J19-1)*2))," ",(('Team Scores'!$C$1*2)-((J19-1)*2))))</f>
        <v xml:space="preserve"> </v>
      </c>
      <c r="L19" s="541">
        <f t="shared" si="0"/>
        <v>0</v>
      </c>
      <c r="M19" s="544" t="str">
        <f t="shared" si="1"/>
        <v xml:space="preserve"> </v>
      </c>
    </row>
    <row r="20" spans="2:13" ht="21" customHeight="1" x14ac:dyDescent="0.25">
      <c r="B20" s="523" t="str">
        <f>'Competition Menu'!C20</f>
        <v>Team 10</v>
      </c>
      <c r="C20" s="527"/>
      <c r="D20" s="534" t="str">
        <f>IF(C20=0," ",RANK(C20,($C$11,$C$12,$C$13,$C$14,$C$15,$C$16,$C$17,$C$18,$C$19,$C$20,$C$21,$C$22,$C$23,$C$24,$C$25,$C$26,$C$27,$C$28,$C$29,$C$30),1))</f>
        <v xml:space="preserve"> </v>
      </c>
      <c r="E20" s="535" t="str">
        <f>IF(D20&gt;0,IF(ISERROR(('Team Scores'!$C$1*2)-((D20-1)*2))," ",(('Team Scores'!$C$1*2)-((D20-1)*2))))</f>
        <v xml:space="preserve"> </v>
      </c>
      <c r="F20" s="530"/>
      <c r="G20" s="540" t="str">
        <f>IF(F20=0," ",RANK(F20,($F$11,$F$12,$F$13,$F$14,$F$15,$F$16,$F$17,$F$18,$F$19,$F$20,$F$21,$F$22,$F$23,$F$24,$F$25,$F$26,$F$27,$F$28,$F$29,$F$30),1))</f>
        <v xml:space="preserve"> </v>
      </c>
      <c r="H20" s="541" t="str">
        <f>IF(G20&gt;0,IF(ISERROR(('Team Scores'!$C$1*2)-((G20-1)*2))," ",(('Team Scores'!$C$1*2)-((G20-1)*2))))</f>
        <v xml:space="preserve"> </v>
      </c>
      <c r="I20" s="530"/>
      <c r="J20" s="534" t="str">
        <f>IF(I20=0," ",RANK(I20,($I$11,$I$12,$I$13,$I$14,$I$15,$I$16,$I$17,$I$18,$I$19,$I$20,$I$21,$I$22,$I$23,$I$24,$I$25,$I$26,$I$27,$I$28,$I$29,$I$30),1))</f>
        <v xml:space="preserve"> </v>
      </c>
      <c r="K20" s="541" t="str">
        <f>IF(J20&gt;0,IF(ISERROR(('Team Scores'!$C$1*2)-((J20-1)*2))," ",(('Team Scores'!$C$1*2)-((J20-1)*2))))</f>
        <v xml:space="preserve"> </v>
      </c>
      <c r="L20" s="541">
        <f t="shared" si="0"/>
        <v>0</v>
      </c>
      <c r="M20" s="544" t="str">
        <f t="shared" si="1"/>
        <v xml:space="preserve"> </v>
      </c>
    </row>
    <row r="21" spans="2:13" ht="21" customHeight="1" x14ac:dyDescent="0.25">
      <c r="B21" s="524" t="str">
        <f>'Competition Menu'!E11</f>
        <v>Team 11</v>
      </c>
      <c r="C21" s="527"/>
      <c r="D21" s="534" t="str">
        <f>IF(C21=0," ",RANK(C21,($C$11,$C$12,$C$13,$C$14,$C$15,$C$16,$C$17,$C$18,$C$19,$C$20,$C$21,$C$22,$C$23,$C$24,$C$25,$C$26,$C$27,$C$28,$C$29,$C$30),1))</f>
        <v xml:space="preserve"> </v>
      </c>
      <c r="E21" s="535" t="str">
        <f>IF(D21&gt;0,IF(ISERROR(('Team Scores'!$C$1*2)-((D21-1)*2))," ",(('Team Scores'!$C$1*2)-((D21-1)*2))))</f>
        <v xml:space="preserve"> </v>
      </c>
      <c r="F21" s="530"/>
      <c r="G21" s="540" t="str">
        <f>IF(F21=0," ",RANK(F21,($F$11,$F$12,$F$13,$F$14,$F$15,$F$16,$F$17,$F$18,$F$19,$F$20,$F$21,$F$22,$F$23,$F$24,$F$25,$F$26,$F$27,$F$28,$F$29,$F$30),1))</f>
        <v xml:space="preserve"> </v>
      </c>
      <c r="H21" s="541" t="str">
        <f>IF(G21&gt;0,IF(ISERROR(('Team Scores'!$C$1*2)-((G21-1)*2))," ",(('Team Scores'!$C$1*2)-((G21-1)*2))))</f>
        <v xml:space="preserve"> </v>
      </c>
      <c r="I21" s="530"/>
      <c r="J21" s="534" t="str">
        <f>IF(I21=0," ",RANK(I21,($I$11,$I$12,$I$13,$I$14,$I$15,$I$16,$I$17,$I$18,$I$19,$I$20,$I$21,$I$22,$I$23,$I$24,$I$25,$I$26,$I$27,$I$28,$I$29,$I$30),1))</f>
        <v xml:space="preserve"> </v>
      </c>
      <c r="K21" s="541" t="str">
        <f>IF(J21&gt;0,IF(ISERROR(('Team Scores'!$C$1*2)-((J21-1)*2))," ",(('Team Scores'!$C$1*2)-((J21-1)*2))))</f>
        <v xml:space="preserve"> </v>
      </c>
      <c r="L21" s="541">
        <f t="shared" si="0"/>
        <v>0</v>
      </c>
      <c r="M21" s="544" t="str">
        <f t="shared" si="1"/>
        <v xml:space="preserve"> </v>
      </c>
    </row>
    <row r="22" spans="2:13" ht="21" customHeight="1" x14ac:dyDescent="0.25">
      <c r="B22" s="523" t="str">
        <f>'Competition Menu'!E12</f>
        <v>Team 12</v>
      </c>
      <c r="C22" s="527"/>
      <c r="D22" s="534" t="str">
        <f>IF(C22=0," ",RANK(C22,($C$11,$C$12,$C$13,$C$14,$C$15,$C$16,$C$17,$C$18,$C$19,$C$20,$C$21,$C$22,$C$23,$C$24,$C$25,$C$26,$C$27,$C$28,$C$29,$C$30),1))</f>
        <v xml:space="preserve"> </v>
      </c>
      <c r="E22" s="535" t="str">
        <f>IF(D22&gt;0,IF(ISERROR(('Team Scores'!$C$1*2)-((D22-1)*2))," ",(('Team Scores'!$C$1*2)-((D22-1)*2))))</f>
        <v xml:space="preserve"> </v>
      </c>
      <c r="F22" s="530"/>
      <c r="G22" s="540" t="str">
        <f>IF(F22=0," ",RANK(F22,($F$11,$F$12,$F$13,$F$14,$F$15,$F$16,$F$17,$F$18,$F$19,$F$20,$F$21,$F$22,$F$23,$F$24,$F$25,$F$26,$F$27,$F$28,$F$29,$F$30),1))</f>
        <v xml:space="preserve"> </v>
      </c>
      <c r="H22" s="541" t="str">
        <f>IF(G22&gt;0,IF(ISERROR(('Team Scores'!$C$1*2)-((G22-1)*2))," ",(('Team Scores'!$C$1*2)-((G22-1)*2))))</f>
        <v xml:space="preserve"> </v>
      </c>
      <c r="I22" s="530"/>
      <c r="J22" s="534" t="str">
        <f>IF(I22=0," ",RANK(I22,($I$11,$I$12,$I$13,$I$14,$I$15,$I$16,$I$17,$I$18,$I$19,$I$20,$I$21,$I$22,$I$23,$I$24,$I$25,$I$26,$I$27,$I$28,$I$29,$I$30),1))</f>
        <v xml:space="preserve"> </v>
      </c>
      <c r="K22" s="541" t="str">
        <f>IF(J22&gt;0,IF(ISERROR(('Team Scores'!$C$1*2)-((J22-1)*2))," ",(('Team Scores'!$C$1*2)-((J22-1)*2))))</f>
        <v xml:space="preserve"> </v>
      </c>
      <c r="L22" s="541">
        <f t="shared" si="0"/>
        <v>0</v>
      </c>
      <c r="M22" s="544" t="str">
        <f t="shared" si="1"/>
        <v xml:space="preserve"> </v>
      </c>
    </row>
    <row r="23" spans="2:13" ht="21" customHeight="1" x14ac:dyDescent="0.25">
      <c r="B23" s="523" t="str">
        <f>'Competition Menu'!E13</f>
        <v>Team 13</v>
      </c>
      <c r="C23" s="527"/>
      <c r="D23" s="534" t="str">
        <f>IF(C23=0," ",RANK(C23,($C$11,$C$12,$C$13,$C$14,$C$15,$C$16,$C$17,$C$18,$C$19,$C$20,$C$21,$C$22,$C$23,$C$24,$C$25,$C$26,$C$27,$C$28,$C$29,$C$30),1))</f>
        <v xml:space="preserve"> </v>
      </c>
      <c r="E23" s="535" t="str">
        <f>IF(D23&gt;0,IF(ISERROR(('Team Scores'!$C$1*2)-((D23-1)*2))," ",(('Team Scores'!$C$1*2)-((D23-1)*2))))</f>
        <v xml:space="preserve"> </v>
      </c>
      <c r="F23" s="530"/>
      <c r="G23" s="540" t="str">
        <f>IF(F23=0," ",RANK(F23,($F$11,$F$12,$F$13,$F$14,$F$15,$F$16,$F$17,$F$18,$F$19,$F$20,$F$21,$F$22,$F$23,$F$24,$F$25,$F$26,$F$27,$F$28,$F$29,$F$30),1))</f>
        <v xml:space="preserve"> </v>
      </c>
      <c r="H23" s="541" t="str">
        <f>IF(G23&gt;0,IF(ISERROR(('Team Scores'!$C$1*2)-((G23-1)*2))," ",(('Team Scores'!$C$1*2)-((G23-1)*2))))</f>
        <v xml:space="preserve"> </v>
      </c>
      <c r="I23" s="530"/>
      <c r="J23" s="534" t="str">
        <f>IF(I23=0," ",RANK(I23,($I$11,$I$12,$I$13,$I$14,$I$15,$I$16,$I$17,$I$18,$I$19,$I$20,$I$21,$I$22,$I$23,$I$24,$I$25,$I$26,$I$27,$I$28,$I$29,$I$30),1))</f>
        <v xml:space="preserve"> </v>
      </c>
      <c r="K23" s="541" t="str">
        <f>IF(J23&gt;0,IF(ISERROR(('Team Scores'!$C$1*2)-((J23-1)*2))," ",(('Team Scores'!$C$1*2)-((J23-1)*2))))</f>
        <v xml:space="preserve"> </v>
      </c>
      <c r="L23" s="541">
        <f t="shared" si="0"/>
        <v>0</v>
      </c>
      <c r="M23" s="544" t="str">
        <f t="shared" si="1"/>
        <v xml:space="preserve"> </v>
      </c>
    </row>
    <row r="24" spans="2:13" ht="21" customHeight="1" x14ac:dyDescent="0.25">
      <c r="B24" s="523" t="str">
        <f>'Competition Menu'!E14</f>
        <v>Team 14</v>
      </c>
      <c r="C24" s="527"/>
      <c r="D24" s="534" t="str">
        <f>IF(C24=0," ",RANK(C24,($C$11,$C$12,$C$13,$C$14,$C$15,$C$16,$C$17,$C$18,$C$19,$C$20,$C$21,$C$22,$C$23,$C$24,$C$25,$C$26,$C$27,$C$28,$C$29,$C$30),1))</f>
        <v xml:space="preserve"> </v>
      </c>
      <c r="E24" s="535" t="str">
        <f>IF(D24&gt;0,IF(ISERROR(('Team Scores'!$C$1*2)-((D24-1)*2))," ",(('Team Scores'!$C$1*2)-((D24-1)*2))))</f>
        <v xml:space="preserve"> </v>
      </c>
      <c r="F24" s="530"/>
      <c r="G24" s="540" t="str">
        <f>IF(F24=0," ",RANK(F24,($F$11,$F$12,$F$13,$F$14,$F$15,$F$16,$F$17,$F$18,$F$19,$F$20,$F$21,$F$22,$F$23,$F$24,$F$25,$F$26,$F$27,$F$28,$F$29,$F$30),1))</f>
        <v xml:space="preserve"> </v>
      </c>
      <c r="H24" s="541" t="str">
        <f>IF(G24&gt;0,IF(ISERROR(('Team Scores'!$C$1*2)-((G24-1)*2))," ",(('Team Scores'!$C$1*2)-((G24-1)*2))))</f>
        <v xml:space="preserve"> </v>
      </c>
      <c r="I24" s="530"/>
      <c r="J24" s="534" t="str">
        <f>IF(I24=0," ",RANK(I24,($I$11,$I$12,$I$13,$I$14,$I$15,$I$16,$I$17,$I$18,$I$19,$I$20,$I$21,$I$22,$I$23,$I$24,$I$25,$I$26,$I$27,$I$28,$I$29,$I$30),1))</f>
        <v xml:space="preserve"> </v>
      </c>
      <c r="K24" s="541" t="str">
        <f>IF(J24&gt;0,IF(ISERROR(('Team Scores'!$C$1*2)-((J24-1)*2))," ",(('Team Scores'!$C$1*2)-((J24-1)*2))))</f>
        <v xml:space="preserve"> </v>
      </c>
      <c r="L24" s="541">
        <f t="shared" si="0"/>
        <v>0</v>
      </c>
      <c r="M24" s="544" t="str">
        <f t="shared" si="1"/>
        <v xml:space="preserve"> </v>
      </c>
    </row>
    <row r="25" spans="2:13" ht="21" customHeight="1" x14ac:dyDescent="0.25">
      <c r="B25" s="523" t="str">
        <f>'Competition Menu'!E15</f>
        <v>Team 15</v>
      </c>
      <c r="C25" s="527"/>
      <c r="D25" s="534" t="str">
        <f>IF(C25=0," ",RANK(C25,($C$11,$C$12,$C$13,$C$14,$C$15,$C$16,$C$17,$C$18,$C$19,$C$20,$C$21,$C$22,$C$23,$C$24,$C$25,$C$26,$C$27,$C$28,$C$29,$C$30),1))</f>
        <v xml:space="preserve"> </v>
      </c>
      <c r="E25" s="535" t="str">
        <f>IF(D25&gt;0,IF(ISERROR(('Team Scores'!$C$1*2)-((D25-1)*2))," ",(('Team Scores'!$C$1*2)-((D25-1)*2))))</f>
        <v xml:space="preserve"> </v>
      </c>
      <c r="F25" s="530"/>
      <c r="G25" s="540" t="str">
        <f>IF(F25=0," ",RANK(F25,($F$11,$F$12,$F$13,$F$14,$F$15,$F$16,$F$17,$F$18,$F$19,$F$20,$F$21,$F$22,$F$23,$F$24,$F$25,$F$26,$F$27,$F$28,$F$29,$F$30),1))</f>
        <v xml:space="preserve"> </v>
      </c>
      <c r="H25" s="541" t="str">
        <f>IF(G25&gt;0,IF(ISERROR(('Team Scores'!$C$1*2)-((G25-1)*2))," ",(('Team Scores'!$C$1*2)-((G25-1)*2))))</f>
        <v xml:space="preserve"> </v>
      </c>
      <c r="I25" s="530"/>
      <c r="J25" s="534" t="str">
        <f>IF(I25=0," ",RANK(I25,($I$11,$I$12,$I$13,$I$14,$I$15,$I$16,$I$17,$I$18,$I$19,$I$20,$I$21,$I$22,$I$23,$I$24,$I$25,$I$26,$I$27,$I$28,$I$29,$I$30),1))</f>
        <v xml:space="preserve"> </v>
      </c>
      <c r="K25" s="541" t="str">
        <f>IF(J25&gt;0,IF(ISERROR(('Team Scores'!$C$1*2)-((J25-1)*2))," ",(('Team Scores'!$C$1*2)-((J25-1)*2))))</f>
        <v xml:space="preserve"> </v>
      </c>
      <c r="L25" s="541">
        <f t="shared" si="0"/>
        <v>0</v>
      </c>
      <c r="M25" s="544" t="str">
        <f t="shared" si="1"/>
        <v xml:space="preserve"> </v>
      </c>
    </row>
    <row r="26" spans="2:13" ht="21" customHeight="1" x14ac:dyDescent="0.25">
      <c r="B26" s="523" t="str">
        <f>'Competition Menu'!E16</f>
        <v>Team 16</v>
      </c>
      <c r="C26" s="527"/>
      <c r="D26" s="534" t="str">
        <f>IF(C26=0," ",RANK(C26,($C$11,$C$12,$C$13,$C$14,$C$15,$C$16,$C$17,$C$18,$C$19,$C$20,$C$21,$C$22,$C$23,$C$24,$C$25,$C$26,$C$27,$C$28,$C$29,$C$30),1))</f>
        <v xml:space="preserve"> </v>
      </c>
      <c r="E26" s="535" t="str">
        <f>IF(D26&gt;0,IF(ISERROR(('Team Scores'!$C$1*2)-((D26-1)*2))," ",(('Team Scores'!$C$1*2)-((D26-1)*2))))</f>
        <v xml:space="preserve"> </v>
      </c>
      <c r="F26" s="530"/>
      <c r="G26" s="540" t="str">
        <f>IF(F26=0," ",RANK(F26,($F$11,$F$12,$F$13,$F$14,$F$15,$F$16,$F$17,$F$18,$F$19,$F$20,$F$21,$F$22,$F$23,$F$24,$F$25,$F$26,$F$27,$F$28,$F$29,$F$30),1))</f>
        <v xml:space="preserve"> </v>
      </c>
      <c r="H26" s="541" t="str">
        <f>IF(G26&gt;0,IF(ISERROR(('Team Scores'!$C$1*2)-((G26-1)*2))," ",(('Team Scores'!$C$1*2)-((G26-1)*2))))</f>
        <v xml:space="preserve"> </v>
      </c>
      <c r="I26" s="530"/>
      <c r="J26" s="534" t="str">
        <f>IF(I26=0," ",RANK(I26,($I$11,$I$12,$I$13,$I$14,$I$15,$I$16,$I$17,$I$18,$I$19,$I$20,$I$21,$I$22,$I$23,$I$24,$I$25,$I$26,$I$27,$I$28,$I$29,$I$30),1))</f>
        <v xml:space="preserve"> </v>
      </c>
      <c r="K26" s="541" t="str">
        <f>IF(J26&gt;0,IF(ISERROR(('Team Scores'!$C$1*2)-((J26-1)*2))," ",(('Team Scores'!$C$1*2)-((J26-1)*2))))</f>
        <v xml:space="preserve"> </v>
      </c>
      <c r="L26" s="541">
        <f t="shared" si="0"/>
        <v>0</v>
      </c>
      <c r="M26" s="544" t="str">
        <f t="shared" si="1"/>
        <v xml:space="preserve"> </v>
      </c>
    </row>
    <row r="27" spans="2:13" ht="21" customHeight="1" x14ac:dyDescent="0.25">
      <c r="B27" s="523" t="str">
        <f>'Competition Menu'!E17</f>
        <v>Team 17</v>
      </c>
      <c r="C27" s="527"/>
      <c r="D27" s="534" t="str">
        <f>IF(C27=0," ",RANK(C27,($C$11,$C$12,$C$13,$C$14,$C$15,$C$16,$C$17,$C$18,$C$19,$C$20,$C$21,$C$22,$C$23,$C$24,$C$25,$C$26,$C$27,$C$28,$C$29,$C$30),1))</f>
        <v xml:space="preserve"> </v>
      </c>
      <c r="E27" s="535" t="str">
        <f>IF(D27&gt;0,IF(ISERROR(('Team Scores'!$C$1*2)-((D27-1)*2))," ",(('Team Scores'!$C$1*2)-((D27-1)*2))))</f>
        <v xml:space="preserve"> </v>
      </c>
      <c r="F27" s="530"/>
      <c r="G27" s="540" t="str">
        <f>IF(F27=0," ",RANK(F27,($F$11,$F$12,$F$13,$F$14,$F$15,$F$16,$F$17,$F$18,$F$19,$F$20,$F$21,$F$22,$F$23,$F$24,$F$25,$F$26,$F$27,$F$28,$F$29,$F$30),1))</f>
        <v xml:space="preserve"> </v>
      </c>
      <c r="H27" s="541" t="str">
        <f>IF(G27&gt;0,IF(ISERROR(('Team Scores'!$C$1*2)-((G27-1)*2))," ",(('Team Scores'!$C$1*2)-((G27-1)*2))))</f>
        <v xml:space="preserve"> </v>
      </c>
      <c r="I27" s="530"/>
      <c r="J27" s="534" t="str">
        <f>IF(I27=0," ",RANK(I27,($I$11,$I$12,$I$13,$I$14,$I$15,$I$16,$I$17,$I$18,$I$19,$I$20,$I$21,$I$22,$I$23,$I$24,$I$25,$I$26,$I$27,$I$28,$I$29,$I$30),1))</f>
        <v xml:space="preserve"> </v>
      </c>
      <c r="K27" s="541" t="str">
        <f>IF(J27&gt;0,IF(ISERROR(('Team Scores'!$C$1*2)-((J27-1)*2))," ",(('Team Scores'!$C$1*2)-((J27-1)*2))))</f>
        <v xml:space="preserve"> </v>
      </c>
      <c r="L27" s="541">
        <f t="shared" si="0"/>
        <v>0</v>
      </c>
      <c r="M27" s="544" t="str">
        <f t="shared" si="1"/>
        <v xml:space="preserve"> </v>
      </c>
    </row>
    <row r="28" spans="2:13" ht="21" customHeight="1" x14ac:dyDescent="0.25">
      <c r="B28" s="523" t="str">
        <f>'Competition Menu'!E18</f>
        <v>Team 18</v>
      </c>
      <c r="C28" s="527"/>
      <c r="D28" s="534" t="str">
        <f>IF(C28=0," ",RANK(C28,($C$11,$C$12,$C$13,$C$14,$C$15,$C$16,$C$17,$C$18,$C$19,$C$20,$C$21,$C$22,$C$23,$C$24,$C$25,$C$26,$C$27,$C$28,$C$29,$C$30),1))</f>
        <v xml:space="preserve"> </v>
      </c>
      <c r="E28" s="535" t="str">
        <f>IF(D28&gt;0,IF(ISERROR(('Team Scores'!$C$1*2)-((D28-1)*2))," ",(('Team Scores'!$C$1*2)-((D28-1)*2))))</f>
        <v xml:space="preserve"> </v>
      </c>
      <c r="F28" s="530"/>
      <c r="G28" s="540" t="str">
        <f>IF(F28=0," ",RANK(F28,($F$11,$F$12,$F$13,$F$14,$F$15,$F$16,$F$17,$F$18,$F$19,$F$20,$F$21,$F$22,$F$23,$F$24,$F$25,$F$26,$F$27,$F$28,$F$29,$F$30),1))</f>
        <v xml:space="preserve"> </v>
      </c>
      <c r="H28" s="541" t="str">
        <f>IF(G28&gt;0,IF(ISERROR(('Team Scores'!$C$1*2)-((G28-1)*2))," ",(('Team Scores'!$C$1*2)-((G28-1)*2))))</f>
        <v xml:space="preserve"> </v>
      </c>
      <c r="I28" s="530"/>
      <c r="J28" s="534" t="str">
        <f>IF(I28=0," ",RANK(I28,($I$11,$I$12,$I$13,$I$14,$I$15,$I$16,$I$17,$I$18,$I$19,$I$20,$I$21,$I$22,$I$23,$I$24,$I$25,$I$26,$I$27,$I$28,$I$29,$I$30),1))</f>
        <v xml:space="preserve"> </v>
      </c>
      <c r="K28" s="541" t="str">
        <f>IF(J28&gt;0,IF(ISERROR(('Team Scores'!$C$1*2)-((J28-1)*2))," ",(('Team Scores'!$C$1*2)-((J28-1)*2))))</f>
        <v xml:space="preserve"> </v>
      </c>
      <c r="L28" s="541">
        <f t="shared" si="0"/>
        <v>0</v>
      </c>
      <c r="M28" s="544" t="str">
        <f t="shared" si="1"/>
        <v xml:space="preserve"> </v>
      </c>
    </row>
    <row r="29" spans="2:13" ht="21" customHeight="1" x14ac:dyDescent="0.25">
      <c r="B29" s="523" t="str">
        <f>'Competition Menu'!E19</f>
        <v>Team 19</v>
      </c>
      <c r="C29" s="527"/>
      <c r="D29" s="534" t="str">
        <f>IF(C29=0," ",RANK(C29,($C$11,$C$12,$C$13,$C$14,$C$15,$C$16,$C$17,$C$18,$C$19,$C$20,$C$21,$C$22,$C$23,$C$24,$C$25,$C$26,$C$27,$C$28,$C$29,$C$30),1))</f>
        <v xml:space="preserve"> </v>
      </c>
      <c r="E29" s="535" t="str">
        <f>IF(D29&gt;0,IF(ISERROR(('Team Scores'!$C$1*2)-((D29-1)*2))," ",(('Team Scores'!$C$1*2)-((D29-1)*2))))</f>
        <v xml:space="preserve"> </v>
      </c>
      <c r="F29" s="530"/>
      <c r="G29" s="540" t="str">
        <f>IF(F29=0," ",RANK(F29,($F$11,$F$12,$F$13,$F$14,$F$15,$F$16,$F$17,$F$18,$F$19,$F$20,$F$21,$F$22,$F$23,$F$24,$F$25,$F$26,$F$27,$F$28,$F$29,$F$30),1))</f>
        <v xml:space="preserve"> </v>
      </c>
      <c r="H29" s="541" t="str">
        <f>IF(G29&gt;0,IF(ISERROR(('Team Scores'!$C$1*2)-((G29-1)*2))," ",(('Team Scores'!$C$1*2)-((G29-1)*2))))</f>
        <v xml:space="preserve"> </v>
      </c>
      <c r="I29" s="530"/>
      <c r="J29" s="534" t="str">
        <f>IF(I29=0," ",RANK(I29,($I$11,$I$12,$I$13,$I$14,$I$15,$I$16,$I$17,$I$18,$I$19,$I$20,$I$21,$I$22,$I$23,$I$24,$I$25,$I$26,$I$27,$I$28,$I$29,$I$30),1))</f>
        <v xml:space="preserve"> </v>
      </c>
      <c r="K29" s="541" t="str">
        <f>IF(J29&gt;0,IF(ISERROR(('Team Scores'!$C$1*2)-((J29-1)*2))," ",(('Team Scores'!$C$1*2)-((J29-1)*2))))</f>
        <v xml:space="preserve"> </v>
      </c>
      <c r="L29" s="541">
        <f t="shared" si="0"/>
        <v>0</v>
      </c>
      <c r="M29" s="544" t="str">
        <f t="shared" si="1"/>
        <v xml:space="preserve"> </v>
      </c>
    </row>
    <row r="30" spans="2:13" ht="21" customHeight="1" thickBot="1" x14ac:dyDescent="0.3">
      <c r="B30" s="525" t="str">
        <f>'Competition Menu'!E20</f>
        <v>Team 20</v>
      </c>
      <c r="C30" s="528"/>
      <c r="D30" s="536" t="str">
        <f>IF(C30=0," ",RANK(C30,($C$11,$C$12,$C$13,$C$14,$C$15,$C$16,$C$17,$C$18,$C$19,$C$20,$C$21,$C$22,$C$23,$C$24,$C$25,$C$26,$C$27,$C$28,$C$29,$C$30),1))</f>
        <v xml:space="preserve"> </v>
      </c>
      <c r="E30" s="537" t="str">
        <f>IF(D30&gt;0,IF(ISERROR(('Team Scores'!$C$1*2)-((D30-1)*2))," ",(('Team Scores'!$C$1*2)-((D30-1)*2))))</f>
        <v xml:space="preserve"> </v>
      </c>
      <c r="F30" s="531"/>
      <c r="G30" s="542" t="str">
        <f>IF(F30=0," ",RANK(F30,($F$11,$F$12,$F$13,$F$14,$F$15,$F$16,$F$17,$F$18,$F$19,$F$20,$F$21,$F$22,$F$23,$F$24,$F$25,$F$26,$F$27,$F$28,$F$29,$F$30),1))</f>
        <v xml:space="preserve"> </v>
      </c>
      <c r="H30" s="537" t="str">
        <f>IF(G30&gt;0,IF(ISERROR(('Team Scores'!$C$1*2)-((G30-1)*2))," ",(('Team Scores'!$C$1*2)-((G30-1)*2))))</f>
        <v xml:space="preserve"> </v>
      </c>
      <c r="I30" s="531"/>
      <c r="J30" s="536" t="str">
        <f>IF(I30=0," ",RANK(I30,($I$11,$I$12,$I$13,$I$14,$I$15,$I$16,$I$17,$I$18,$I$19,$I$20,$I$21,$I$22,$I$23,$I$24,$I$25,$I$26,$I$27,$I$28,$I$29,$I$30),1))</f>
        <v xml:space="preserve"> </v>
      </c>
      <c r="K30" s="537" t="str">
        <f>IF(J30&gt;0,IF(ISERROR(('Team Scores'!$C$1*2)-((J30-1)*2))," ",(('Team Scores'!$C$1*2)-((J30-1)*2))))</f>
        <v xml:space="preserve"> </v>
      </c>
      <c r="L30" s="545">
        <f t="shared" si="0"/>
        <v>0</v>
      </c>
      <c r="M30" s="546" t="str">
        <f t="shared" si="1"/>
        <v xml:space="preserve"> </v>
      </c>
    </row>
    <row r="31" spans="2:13" ht="9" customHeight="1" x14ac:dyDescent="0.25"/>
    <row r="32" spans="2:13" ht="13" x14ac:dyDescent="0.3">
      <c r="C32" s="266" t="s">
        <v>79</v>
      </c>
    </row>
  </sheetData>
  <sheetProtection password="CF63" sheet="1" objects="1" selectLockedCells="1"/>
  <mergeCells count="5">
    <mergeCell ref="H2:M7"/>
    <mergeCell ref="C9:E9"/>
    <mergeCell ref="F9:H9"/>
    <mergeCell ref="I9:K9"/>
    <mergeCell ref="M9:M10"/>
  </mergeCells>
  <dataValidations count="1">
    <dataValidation type="decimal" allowBlank="1" showInputMessage="1" showErrorMessage="1" error="Times should be in seconds - 1 minute 36 seconds 2 tenths should be 96.2." sqref="C11:C30 I11:I30 F11:F30">
      <formula1>0.1</formula1>
      <formula2>300.1</formula2>
    </dataValidation>
  </dataValidations>
  <pageMargins left="3.937007874015748E-2" right="3.937007874015748E-2" top="0.35433070866141736" bottom="0.35433070866141736"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W87"/>
  <sheetViews>
    <sheetView showGridLines="0" showRowColHeaders="0" showZeros="0" topLeftCell="A3" zoomScale="75" workbookViewId="0">
      <selection activeCell="A4" sqref="A4"/>
    </sheetView>
  </sheetViews>
  <sheetFormatPr defaultRowHeight="12.5" x14ac:dyDescent="0.25"/>
  <cols>
    <col min="1" max="2" width="1.54296875" customWidth="1"/>
    <col min="3" max="3" width="16.81640625" customWidth="1"/>
    <col min="4" max="4" width="9.1796875" hidden="1" customWidth="1"/>
    <col min="5" max="6" width="6.26953125" customWidth="1"/>
    <col min="7" max="7" width="9.1796875" hidden="1" customWidth="1"/>
    <col min="8" max="8" width="6.1796875" style="1" customWidth="1"/>
    <col min="9" max="9" width="6.26953125" style="1" customWidth="1"/>
    <col min="10" max="10" width="9.1796875" hidden="1" customWidth="1"/>
    <col min="11" max="11" width="6.1796875" customWidth="1"/>
    <col min="12" max="12" width="6.26953125" customWidth="1"/>
    <col min="13" max="13" width="9.1796875" hidden="1" customWidth="1"/>
    <col min="14" max="15" width="6.26953125" customWidth="1"/>
    <col min="16" max="16" width="9.1796875" hidden="1" customWidth="1"/>
    <col min="17" max="18" width="6.26953125" customWidth="1"/>
    <col min="19" max="19" width="9.1796875" hidden="1" customWidth="1"/>
    <col min="20" max="21" width="6.26953125" customWidth="1"/>
    <col min="22" max="22" width="9.1796875" hidden="1" customWidth="1"/>
    <col min="23" max="24" width="6.26953125" customWidth="1"/>
    <col min="25" max="25" width="9.1796875" hidden="1" customWidth="1"/>
    <col min="26" max="27" width="6.26953125" customWidth="1"/>
    <col min="28" max="28" width="9.1796875" hidden="1" customWidth="1"/>
    <col min="29" max="30" width="6.26953125" customWidth="1"/>
    <col min="31" max="31" width="9.1796875" hidden="1" customWidth="1"/>
    <col min="32" max="33" width="6.26953125" customWidth="1"/>
    <col min="34" max="34" width="9.1796875" hidden="1" customWidth="1"/>
    <col min="35" max="36" width="1.54296875" customWidth="1"/>
    <col min="37" max="37" width="16.81640625" customWidth="1"/>
    <col min="38" max="39" width="6.26953125" customWidth="1"/>
    <col min="40" max="40" width="9.1796875" hidden="1" customWidth="1"/>
    <col min="41" max="42" width="6.26953125" customWidth="1"/>
    <col min="43" max="43" width="9.1796875" hidden="1" customWidth="1"/>
    <col min="44" max="45" width="6.26953125" customWidth="1"/>
    <col min="46" max="46" width="9.1796875" hidden="1" customWidth="1"/>
    <col min="47" max="48" width="6.26953125" customWidth="1"/>
    <col min="49" max="49" width="9.1796875" hidden="1" customWidth="1"/>
    <col min="50" max="51" width="6.26953125" customWidth="1"/>
    <col min="52" max="52" width="9.1796875" hidden="1" customWidth="1"/>
    <col min="53" max="54" width="6.26953125" customWidth="1"/>
    <col min="55" max="55" width="9.1796875" hidden="1" customWidth="1"/>
    <col min="56" max="57" width="6.26953125" customWidth="1"/>
    <col min="58" max="58" width="9.1796875" hidden="1" customWidth="1"/>
    <col min="59" max="60" width="6.26953125" customWidth="1"/>
    <col min="61" max="61" width="9.1796875" hidden="1" customWidth="1"/>
    <col min="62" max="63" width="6.26953125" customWidth="1"/>
    <col min="64" max="64" width="9.1796875" hidden="1" customWidth="1"/>
    <col min="65" max="66" width="6.26953125" customWidth="1"/>
    <col min="67" max="67" width="9.1796875" customWidth="1"/>
    <col min="68" max="75" width="9.1796875" hidden="1" customWidth="1"/>
  </cols>
  <sheetData>
    <row r="1" spans="1:74" hidden="1" x14ac:dyDescent="0.25">
      <c r="A1">
        <f>'Competition Menu'!H15</f>
        <v>4</v>
      </c>
      <c r="C1">
        <f>'Competition Menu'!H11</f>
        <v>10</v>
      </c>
      <c r="AK1">
        <f>'Competition Menu'!AN11</f>
        <v>0</v>
      </c>
    </row>
    <row r="2" spans="1:74" ht="19.5" hidden="1" customHeight="1" thickBot="1" x14ac:dyDescent="0.3">
      <c r="F2">
        <v>1</v>
      </c>
      <c r="I2" s="7">
        <v>2</v>
      </c>
      <c r="L2">
        <v>3</v>
      </c>
      <c r="O2">
        <v>4</v>
      </c>
      <c r="R2">
        <v>5</v>
      </c>
      <c r="U2">
        <v>6</v>
      </c>
      <c r="X2">
        <v>7</v>
      </c>
      <c r="AA2">
        <v>8</v>
      </c>
      <c r="AD2">
        <v>9</v>
      </c>
      <c r="AG2">
        <v>10</v>
      </c>
      <c r="AM2">
        <v>11</v>
      </c>
      <c r="AP2">
        <v>12</v>
      </c>
      <c r="AS2">
        <v>13</v>
      </c>
      <c r="AV2">
        <v>14</v>
      </c>
      <c r="AY2">
        <v>15</v>
      </c>
      <c r="BB2">
        <v>16</v>
      </c>
      <c r="BE2">
        <v>17</v>
      </c>
      <c r="BH2">
        <v>18</v>
      </c>
      <c r="BK2">
        <v>19</v>
      </c>
      <c r="BN2">
        <v>20</v>
      </c>
    </row>
    <row r="3" spans="1:74" ht="5.25" customHeight="1" x14ac:dyDescent="0.25"/>
    <row r="4" spans="1:74" ht="26.25" customHeight="1" x14ac:dyDescent="0.5">
      <c r="C4" s="634" t="s">
        <v>6161</v>
      </c>
      <c r="D4" s="634"/>
      <c r="E4" s="634"/>
      <c r="F4" s="634"/>
      <c r="G4" s="634"/>
      <c r="H4" s="634"/>
      <c r="I4" s="616"/>
      <c r="J4" s="616"/>
      <c r="K4" s="616"/>
      <c r="L4" s="616"/>
      <c r="M4" s="616"/>
      <c r="N4" s="616"/>
      <c r="Q4" s="9"/>
      <c r="R4" s="5"/>
      <c r="S4" s="5"/>
      <c r="T4" s="657" t="str">
        <f>'Competition Menu'!C6</f>
        <v>Any Town Partnership Final</v>
      </c>
      <c r="U4" s="657"/>
      <c r="V4" s="657"/>
      <c r="W4" s="657"/>
      <c r="X4" s="657"/>
      <c r="Y4" s="657"/>
      <c r="Z4" s="657"/>
      <c r="AA4" s="657"/>
      <c r="AB4" s="657"/>
      <c r="AC4" s="657"/>
      <c r="AD4" s="10"/>
      <c r="AE4" s="5"/>
      <c r="AF4" s="5"/>
      <c r="AH4" s="5"/>
      <c r="AI4" s="5"/>
      <c r="AJ4" s="5"/>
      <c r="AK4" s="634" t="s">
        <v>6161</v>
      </c>
      <c r="AL4" s="616"/>
      <c r="AM4" s="616"/>
      <c r="AN4" s="616"/>
      <c r="AO4" s="616"/>
      <c r="AP4" s="616"/>
      <c r="AQ4" s="616"/>
      <c r="AR4" s="616"/>
      <c r="AS4" s="616"/>
      <c r="AT4" s="616"/>
      <c r="AU4" s="616"/>
      <c r="AV4" s="8"/>
      <c r="AW4" s="5"/>
      <c r="AX4" s="5"/>
      <c r="AZ4" s="5"/>
      <c r="BA4" s="645" t="str">
        <f>'Competition Menu'!C6</f>
        <v>Any Town Partnership Final</v>
      </c>
      <c r="BB4" s="645"/>
      <c r="BC4" s="645"/>
      <c r="BD4" s="645"/>
      <c r="BE4" s="645"/>
      <c r="BF4" s="645"/>
      <c r="BG4" s="645"/>
      <c r="BH4" s="645"/>
      <c r="BI4" s="645"/>
      <c r="BJ4" s="645"/>
      <c r="BL4" s="5"/>
      <c r="BM4" s="5"/>
    </row>
    <row r="5" spans="1:74" ht="26.25" customHeight="1" x14ac:dyDescent="0.5">
      <c r="C5" s="634"/>
      <c r="D5" s="634"/>
      <c r="E5" s="634"/>
      <c r="F5" s="634"/>
      <c r="G5" s="634"/>
      <c r="H5" s="634"/>
      <c r="I5" s="616"/>
      <c r="J5" s="616"/>
      <c r="K5" s="616"/>
      <c r="L5" s="616"/>
      <c r="M5" s="616"/>
      <c r="N5" s="616"/>
      <c r="Q5" s="9"/>
      <c r="R5" s="5"/>
      <c r="S5" s="5"/>
      <c r="T5" s="657" t="str">
        <f>'Competition Menu'!C7</f>
        <v>1st October 2017</v>
      </c>
      <c r="U5" s="657"/>
      <c r="V5" s="657"/>
      <c r="W5" s="657"/>
      <c r="X5" s="657"/>
      <c r="Y5" s="657"/>
      <c r="Z5" s="657"/>
      <c r="AA5" s="657"/>
      <c r="AB5" s="657"/>
      <c r="AC5" s="657"/>
      <c r="AD5" s="10"/>
      <c r="AE5" s="5"/>
      <c r="AF5" s="5"/>
      <c r="AH5" s="5"/>
      <c r="AI5" s="5"/>
      <c r="AJ5" s="5"/>
      <c r="AK5" s="616"/>
      <c r="AL5" s="616"/>
      <c r="AM5" s="616"/>
      <c r="AN5" s="616"/>
      <c r="AO5" s="616"/>
      <c r="AP5" s="616"/>
      <c r="AQ5" s="616"/>
      <c r="AR5" s="616"/>
      <c r="AS5" s="616"/>
      <c r="AT5" s="616"/>
      <c r="AU5" s="616"/>
      <c r="AV5" s="8"/>
      <c r="AW5" s="5"/>
      <c r="AX5" s="5"/>
      <c r="AZ5" s="5"/>
      <c r="BA5" s="645" t="str">
        <f>'Competition Menu'!C7</f>
        <v>1st October 2017</v>
      </c>
      <c r="BB5" s="645"/>
      <c r="BC5" s="645"/>
      <c r="BD5" s="645"/>
      <c r="BE5" s="645"/>
      <c r="BF5" s="645"/>
      <c r="BG5" s="645"/>
      <c r="BH5" s="645"/>
      <c r="BI5" s="645"/>
      <c r="BJ5" s="645"/>
      <c r="BL5" s="5"/>
      <c r="BM5" s="5"/>
    </row>
    <row r="6" spans="1:74" ht="26.25" customHeight="1" x14ac:dyDescent="0.5">
      <c r="C6" s="616"/>
      <c r="D6" s="616"/>
      <c r="E6" s="616"/>
      <c r="F6" s="616"/>
      <c r="G6" s="616"/>
      <c r="H6" s="616"/>
      <c r="I6" s="616"/>
      <c r="J6" s="616"/>
      <c r="K6" s="616"/>
      <c r="L6" s="616"/>
      <c r="M6" s="616"/>
      <c r="N6" s="616"/>
      <c r="Q6" s="5"/>
      <c r="R6" s="5"/>
      <c r="S6" s="5"/>
      <c r="T6" s="677" t="str">
        <f>'Competition Menu'!C8</f>
        <v>Big Sportshall, Any Town</v>
      </c>
      <c r="U6" s="678"/>
      <c r="V6" s="678"/>
      <c r="W6" s="678"/>
      <c r="X6" s="678"/>
      <c r="Y6" s="678"/>
      <c r="Z6" s="678"/>
      <c r="AA6" s="678"/>
      <c r="AB6" s="678"/>
      <c r="AC6" s="678"/>
      <c r="AD6" s="10"/>
      <c r="AE6" s="5"/>
      <c r="AF6" s="5"/>
      <c r="AH6" s="5"/>
      <c r="AI6" s="5"/>
      <c r="AJ6" s="5"/>
      <c r="AK6" s="616"/>
      <c r="AL6" s="616"/>
      <c r="AM6" s="616"/>
      <c r="AN6" s="616"/>
      <c r="AO6" s="616"/>
      <c r="AP6" s="616"/>
      <c r="AQ6" s="616"/>
      <c r="AR6" s="616"/>
      <c r="AS6" s="616"/>
      <c r="AT6" s="616"/>
      <c r="AU6" s="616"/>
      <c r="AV6" s="8"/>
      <c r="AW6" s="5"/>
      <c r="AX6" s="5"/>
      <c r="AZ6" s="5"/>
      <c r="BA6" s="645" t="str">
        <f>'Competition Menu'!C8</f>
        <v>Big Sportshall, Any Town</v>
      </c>
      <c r="BB6" s="645"/>
      <c r="BC6" s="645"/>
      <c r="BD6" s="645"/>
      <c r="BE6" s="645"/>
      <c r="BF6" s="645"/>
      <c r="BG6" s="645"/>
      <c r="BH6" s="645"/>
      <c r="BI6" s="645"/>
      <c r="BJ6" s="645"/>
      <c r="BK6" s="5"/>
      <c r="BL6" s="5"/>
      <c r="BM6" s="5"/>
    </row>
    <row r="7" spans="1:74" ht="3.75" customHeight="1" x14ac:dyDescent="0.25"/>
    <row r="8" spans="1:74" ht="6.75" customHeight="1" thickBot="1" x14ac:dyDescent="0.3"/>
    <row r="9" spans="1:74" ht="52.5" customHeight="1" thickTop="1" thickBot="1" x14ac:dyDescent="0.3">
      <c r="C9" s="651"/>
      <c r="D9" s="12"/>
      <c r="E9" s="682" t="str">
        <f>'Competition Menu'!C11</f>
        <v>Team 1</v>
      </c>
      <c r="F9" s="681"/>
      <c r="G9" s="21"/>
      <c r="H9" s="681" t="str">
        <f>'Competition Menu'!C12</f>
        <v>Team 2</v>
      </c>
      <c r="I9" s="681"/>
      <c r="J9" s="22"/>
      <c r="K9" s="681" t="str">
        <f>'Competition Menu'!C13</f>
        <v>Team 3</v>
      </c>
      <c r="L9" s="681"/>
      <c r="M9" s="21"/>
      <c r="N9" s="681" t="str">
        <f>'Competition Menu'!C14</f>
        <v>Team 4</v>
      </c>
      <c r="O9" s="681"/>
      <c r="P9" s="22"/>
      <c r="Q9" s="681" t="str">
        <f>'Competition Menu'!C15</f>
        <v>Team 5</v>
      </c>
      <c r="R9" s="681"/>
      <c r="S9" s="21"/>
      <c r="T9" s="681" t="str">
        <f>'Competition Menu'!C16</f>
        <v>Team 6</v>
      </c>
      <c r="U9" s="681"/>
      <c r="V9" s="22"/>
      <c r="W9" s="681" t="str">
        <f>'Competition Menu'!C17</f>
        <v>Team 7</v>
      </c>
      <c r="X9" s="681"/>
      <c r="Y9" s="21"/>
      <c r="Z9" s="681" t="str">
        <f>'Competition Menu'!C18</f>
        <v>Team 8</v>
      </c>
      <c r="AA9" s="681"/>
      <c r="AB9" s="22"/>
      <c r="AC9" s="681" t="str">
        <f>'Competition Menu'!C19</f>
        <v>Team 9</v>
      </c>
      <c r="AD9" s="681"/>
      <c r="AE9" s="21"/>
      <c r="AF9" s="646" t="str">
        <f>'Competition Menu'!C20</f>
        <v>Team 10</v>
      </c>
      <c r="AG9" s="683"/>
      <c r="AH9" s="27"/>
      <c r="AI9" s="345"/>
      <c r="AJ9" s="345"/>
      <c r="AK9" s="651"/>
      <c r="AL9" s="688" t="str">
        <f>'Competition Menu'!E11</f>
        <v>Team 11</v>
      </c>
      <c r="AM9" s="646"/>
      <c r="AN9" s="26"/>
      <c r="AO9" s="646" t="str">
        <f>'Competition Menu'!E12</f>
        <v>Team 12</v>
      </c>
      <c r="AP9" s="646"/>
      <c r="AQ9" s="26"/>
      <c r="AR9" s="646" t="str">
        <f>'Competition Menu'!E13</f>
        <v>Team 13</v>
      </c>
      <c r="AS9" s="646"/>
      <c r="AT9" s="26"/>
      <c r="AU9" s="646" t="str">
        <f>'Competition Menu'!E14</f>
        <v>Team 14</v>
      </c>
      <c r="AV9" s="646"/>
      <c r="AW9" s="26"/>
      <c r="AX9" s="646" t="str">
        <f>'Competition Menu'!E15</f>
        <v>Team 15</v>
      </c>
      <c r="AY9" s="646"/>
      <c r="AZ9" s="26"/>
      <c r="BA9" s="646" t="str">
        <f>'Competition Menu'!E16</f>
        <v>Team 16</v>
      </c>
      <c r="BB9" s="646"/>
      <c r="BC9" s="26"/>
      <c r="BD9" s="646" t="str">
        <f>'Competition Menu'!E17</f>
        <v>Team 17</v>
      </c>
      <c r="BE9" s="646"/>
      <c r="BF9" s="26"/>
      <c r="BG9" s="646" t="str">
        <f>'Competition Menu'!E18</f>
        <v>Team 18</v>
      </c>
      <c r="BH9" s="646"/>
      <c r="BI9" s="26"/>
      <c r="BJ9" s="646" t="str">
        <f>'Competition Menu'!E19</f>
        <v>Team 19</v>
      </c>
      <c r="BK9" s="646"/>
      <c r="BL9" s="26"/>
      <c r="BM9" s="646" t="str">
        <f>'Competition Menu'!E20</f>
        <v>Team 20</v>
      </c>
      <c r="BN9" s="689"/>
      <c r="BQ9">
        <v>5</v>
      </c>
      <c r="BR9">
        <v>6</v>
      </c>
      <c r="BS9">
        <v>7</v>
      </c>
      <c r="BT9">
        <v>8</v>
      </c>
      <c r="BU9">
        <v>9</v>
      </c>
      <c r="BV9">
        <v>10</v>
      </c>
    </row>
    <row r="10" spans="1:74" ht="16" customHeight="1" x14ac:dyDescent="0.25">
      <c r="C10" s="652"/>
      <c r="D10" s="6"/>
      <c r="E10" s="18" t="s">
        <v>31</v>
      </c>
      <c r="F10" s="686" t="s">
        <v>32</v>
      </c>
      <c r="G10" s="16"/>
      <c r="H10" s="18" t="s">
        <v>31</v>
      </c>
      <c r="I10" s="679" t="s">
        <v>32</v>
      </c>
      <c r="J10" s="14"/>
      <c r="K10" s="18" t="s">
        <v>31</v>
      </c>
      <c r="L10" s="679" t="s">
        <v>32</v>
      </c>
      <c r="M10" s="14"/>
      <c r="N10" s="18" t="s">
        <v>31</v>
      </c>
      <c r="O10" s="679" t="s">
        <v>32</v>
      </c>
      <c r="P10" s="14"/>
      <c r="Q10" s="18" t="s">
        <v>31</v>
      </c>
      <c r="R10" s="679" t="s">
        <v>32</v>
      </c>
      <c r="S10" s="14"/>
      <c r="T10" s="18" t="s">
        <v>31</v>
      </c>
      <c r="U10" s="679" t="s">
        <v>32</v>
      </c>
      <c r="V10" s="14"/>
      <c r="W10" s="18" t="s">
        <v>31</v>
      </c>
      <c r="X10" s="679" t="s">
        <v>32</v>
      </c>
      <c r="Y10" s="14"/>
      <c r="Z10" s="18" t="s">
        <v>31</v>
      </c>
      <c r="AA10" s="679" t="s">
        <v>32</v>
      </c>
      <c r="AB10" s="14"/>
      <c r="AC10" s="18" t="s">
        <v>31</v>
      </c>
      <c r="AD10" s="679" t="s">
        <v>32</v>
      </c>
      <c r="AE10" s="14"/>
      <c r="AF10" s="18" t="s">
        <v>31</v>
      </c>
      <c r="AG10" s="684" t="s">
        <v>32</v>
      </c>
      <c r="AH10" s="343"/>
      <c r="AI10" s="346"/>
      <c r="AJ10" s="346"/>
      <c r="AK10" s="652"/>
      <c r="AL10" s="18" t="s">
        <v>31</v>
      </c>
      <c r="AM10" s="679" t="s">
        <v>32</v>
      </c>
      <c r="AN10" s="16"/>
      <c r="AO10" s="18" t="s">
        <v>31</v>
      </c>
      <c r="AP10" s="679" t="s">
        <v>32</v>
      </c>
      <c r="AQ10" s="16"/>
      <c r="AR10" s="18" t="s">
        <v>31</v>
      </c>
      <c r="AS10" s="679" t="s">
        <v>32</v>
      </c>
      <c r="AT10" s="16"/>
      <c r="AU10" s="18" t="s">
        <v>31</v>
      </c>
      <c r="AV10" s="679" t="s">
        <v>32</v>
      </c>
      <c r="AW10" s="16"/>
      <c r="AX10" s="18" t="s">
        <v>31</v>
      </c>
      <c r="AY10" s="679" t="s">
        <v>32</v>
      </c>
      <c r="AZ10" s="16"/>
      <c r="BA10" s="18" t="s">
        <v>31</v>
      </c>
      <c r="BB10" s="679" t="s">
        <v>32</v>
      </c>
      <c r="BC10" s="16"/>
      <c r="BD10" s="18" t="s">
        <v>31</v>
      </c>
      <c r="BE10" s="679" t="s">
        <v>32</v>
      </c>
      <c r="BF10" s="16"/>
      <c r="BG10" s="18" t="s">
        <v>31</v>
      </c>
      <c r="BH10" s="679" t="s">
        <v>32</v>
      </c>
      <c r="BI10" s="16"/>
      <c r="BJ10" s="18" t="s">
        <v>31</v>
      </c>
      <c r="BK10" s="679" t="s">
        <v>32</v>
      </c>
      <c r="BL10" s="16"/>
      <c r="BM10" s="18" t="s">
        <v>31</v>
      </c>
      <c r="BN10" s="684" t="s">
        <v>32</v>
      </c>
    </row>
    <row r="11" spans="1:74" ht="16" customHeight="1" thickBot="1" x14ac:dyDescent="0.3">
      <c r="C11" s="653"/>
      <c r="D11" s="13"/>
      <c r="E11" s="19" t="s">
        <v>30</v>
      </c>
      <c r="F11" s="687"/>
      <c r="G11" s="17"/>
      <c r="H11" s="19" t="s">
        <v>30</v>
      </c>
      <c r="I11" s="680"/>
      <c r="J11" s="15"/>
      <c r="K11" s="19" t="s">
        <v>30</v>
      </c>
      <c r="L11" s="680"/>
      <c r="M11" s="15"/>
      <c r="N11" s="19" t="s">
        <v>30</v>
      </c>
      <c r="O11" s="680"/>
      <c r="P11" s="15"/>
      <c r="Q11" s="19" t="s">
        <v>30</v>
      </c>
      <c r="R11" s="680"/>
      <c r="S11" s="15"/>
      <c r="T11" s="19" t="s">
        <v>30</v>
      </c>
      <c r="U11" s="680"/>
      <c r="V11" s="15"/>
      <c r="W11" s="19" t="s">
        <v>30</v>
      </c>
      <c r="X11" s="680"/>
      <c r="Y11" s="15"/>
      <c r="Z11" s="19" t="s">
        <v>30</v>
      </c>
      <c r="AA11" s="680"/>
      <c r="AB11" s="15"/>
      <c r="AC11" s="19" t="s">
        <v>30</v>
      </c>
      <c r="AD11" s="680"/>
      <c r="AE11" s="15"/>
      <c r="AF11" s="19" t="s">
        <v>30</v>
      </c>
      <c r="AG11" s="685"/>
      <c r="AH11" s="344"/>
      <c r="AI11" s="346"/>
      <c r="AJ11" s="346"/>
      <c r="AK11" s="653"/>
      <c r="AL11" s="19" t="s">
        <v>30</v>
      </c>
      <c r="AM11" s="680"/>
      <c r="AN11" s="17"/>
      <c r="AO11" s="19" t="s">
        <v>30</v>
      </c>
      <c r="AP11" s="680"/>
      <c r="AQ11" s="17"/>
      <c r="AR11" s="19" t="s">
        <v>30</v>
      </c>
      <c r="AS11" s="680"/>
      <c r="AT11" s="17"/>
      <c r="AU11" s="19" t="s">
        <v>30</v>
      </c>
      <c r="AV11" s="680"/>
      <c r="AW11" s="17"/>
      <c r="AX11" s="19" t="s">
        <v>30</v>
      </c>
      <c r="AY11" s="680"/>
      <c r="AZ11" s="17"/>
      <c r="BA11" s="19" t="s">
        <v>30</v>
      </c>
      <c r="BB11" s="680"/>
      <c r="BC11" s="17"/>
      <c r="BD11" s="19" t="s">
        <v>30</v>
      </c>
      <c r="BE11" s="680"/>
      <c r="BF11" s="17"/>
      <c r="BG11" s="19" t="s">
        <v>30</v>
      </c>
      <c r="BH11" s="680"/>
      <c r="BI11" s="17"/>
      <c r="BJ11" s="19" t="s">
        <v>30</v>
      </c>
      <c r="BK11" s="680"/>
      <c r="BL11" s="17"/>
      <c r="BM11" s="19" t="s">
        <v>30</v>
      </c>
      <c r="BN11" s="685"/>
    </row>
    <row r="12" spans="1:74" ht="16" customHeight="1" thickTop="1" thickBot="1" x14ac:dyDescent="0.3">
      <c r="C12" s="644" t="s">
        <v>39</v>
      </c>
      <c r="D12" s="45"/>
      <c r="E12" s="46" t="str">
        <f>IF(E13&gt;0,RANK(E13,($E13,$H13,$K13,$N13,$Q13,$T13,$W13,$Z13,$AC13,$AF13,$AL13,$AO13,$AR13,$AU13,$AX13,$BA13,$BD13,$BG13,$BJ13,$BM13),0)," ")</f>
        <v xml:space="preserve"> </v>
      </c>
      <c r="F12" s="647" t="str">
        <f>IF(E12&gt;0,IF(ISERROR(($C$1*2)-((E12-1)*2))," ",(($C$1*2)-((E12-1)*2))))</f>
        <v xml:space="preserve"> </v>
      </c>
      <c r="G12" s="47"/>
      <c r="H12" s="48" t="str">
        <f>IF(H13&gt;0,RANK(H13,($E13,$H13,$K13,$N13,$Q13,$T13,$W13,$Z13,$AC13,$AF13,$AL13,$AO13,$AR13,$AU13,$AX13,$BA13,$BD13,$BG13,$BJ13,$BM13),0)," ")</f>
        <v xml:space="preserve"> </v>
      </c>
      <c r="I12" s="647" t="str">
        <f>IF(H12&gt;0,IF(ISERROR(($C$1*2)-((H12-1)*2))," ",(($C$1*2)-((H12-1)*2))))</f>
        <v xml:space="preserve"> </v>
      </c>
      <c r="J12" s="47"/>
      <c r="K12" s="48" t="str">
        <f>IF(K13&gt;0,RANK(K13,($E13,$H13,$K13,$N13,$Q13,$T13,$W13,$Z13,$AC13,$AF13,$AL13,$AO13,$AR13,$AU13,$AX13,$BA13,$BD13,$BG13,$BJ13,$BM13),0)," ")</f>
        <v xml:space="preserve"> </v>
      </c>
      <c r="L12" s="673" t="str">
        <f>IF(K12&gt;0,IF(ISERROR(($C$1*2)-((K12-1)*2))," ",(($C$1*2)-((K12-1)*2))))</f>
        <v xml:space="preserve"> </v>
      </c>
      <c r="M12" s="49"/>
      <c r="N12" s="48" t="str">
        <f>IF(N13&gt;0,RANK(N13,($E13,$H13,$K13,$N13,$Q13,$T13,$W13,$Z13,$AC13,$AF13,$AL13,$AO13,$AR13,$AU13,$AX13,$BA13,$BD13,$BG13,$BJ13,$BM13),0)," ")</f>
        <v xml:space="preserve"> </v>
      </c>
      <c r="O12" s="647" t="str">
        <f>IF(N12&gt;0,IF(ISERROR(($C$1*2)-((N12-1)*2))," ",(($C$1*2)-((N12-1)*2))))</f>
        <v xml:space="preserve"> </v>
      </c>
      <c r="P12" s="47"/>
      <c r="Q12" s="48" t="str">
        <f>IF(Q13&gt;0,RANK(Q13,($E13,$H13,$K13,$N13,$Q13,$T13,$W13,$Z13,$AC13,$AF13,$AL13,$AO13,$AR13,$AU13,$AX13,$BA13,$BD13,$BG13,$BJ13,$BM13),0)," ")</f>
        <v xml:space="preserve"> </v>
      </c>
      <c r="R12" s="647" t="str">
        <f>IF(Q12&gt;0,IF(ISERROR(($C$1*2)-((Q12-1)*2))," ",(($C$1*2)-((Q12-1)*2))))</f>
        <v xml:space="preserve"> </v>
      </c>
      <c r="S12" s="47"/>
      <c r="T12" s="48" t="str">
        <f>IF(T13&gt;0,RANK(T13,($E13,$H13,$K13,$N13,$Q13,$T13,$W13,$Z13,$AC13,$AF13,$AL13,$AO13,$AR13,$AU13,$AX13,$BA13,$BD13,$BG13,$BJ13,$BM13),0)," ")</f>
        <v xml:space="preserve"> </v>
      </c>
      <c r="U12" s="647" t="str">
        <f>IF(T12&gt;0,IF(ISERROR(($C$1*2)-((T12-1)*2))," ",(($C$1*2)-((T12-1)*2))))</f>
        <v xml:space="preserve"> </v>
      </c>
      <c r="V12" s="47"/>
      <c r="W12" s="48" t="str">
        <f>IF(W13&gt;0,RANK(W13,($E13,$H13,$K13,$N13,$Q13,$T13,$W13,$Z13,$AC13,$AF13,$AL13,$AO13,$AR13,$AU13,$AX13,$BA13,$BD13,$BG13,$BJ13,$BM13),0)," ")</f>
        <v xml:space="preserve"> </v>
      </c>
      <c r="X12" s="647" t="str">
        <f>IF(W12&gt;0,IF(ISERROR(($C$1*2)-((W12-1)*2))," ",(($C$1*2)-((W12-1)*2))))</f>
        <v xml:space="preserve"> </v>
      </c>
      <c r="Y12" s="47"/>
      <c r="Z12" s="48" t="str">
        <f>IF(Z13&gt;0,RANK(Z13,($E13,$H13,$K13,$N13,$Q13,$T13,$W13,$Z13,$AC13,$AF13,$AL13,$AO13,$AR13,$AU13,$AX13,$BA13,$BD13,$BG13,$BJ13,$BM13),0)," ")</f>
        <v xml:space="preserve"> </v>
      </c>
      <c r="AA12" s="647" t="str">
        <f>IF(Z12&gt;0,IF(ISERROR(($C$1*2)-((Z12-1)*2))," ",(($C$1*2)-((Z12-1)*2))))</f>
        <v xml:space="preserve"> </v>
      </c>
      <c r="AB12" s="47"/>
      <c r="AC12" s="48" t="str">
        <f>IF(AC13&gt;0,RANK(AC13,($E13,$H13,$K13,$N13,$Q13,$T13,$W13,$Z13,$AC13,$AF13,$AL13,$AO13,$AR13,$AU13,$AX13,$BA13,$BD13,$BG13,$BJ13,$BM13),0)," ")</f>
        <v xml:space="preserve"> </v>
      </c>
      <c r="AD12" s="647" t="str">
        <f>IF(AC12&gt;0,IF(ISERROR(($C$1*2)-((AC12-1)*2))," ",(($C$1*2)-((AC12-1)*2))))</f>
        <v xml:space="preserve"> </v>
      </c>
      <c r="AE12" s="47"/>
      <c r="AF12" s="48" t="str">
        <f>IF(AF13&gt;0,RANK(AF13,($E13,$H13,$K13,$N13,$Q13,$T13,$W13,$Z13,$AC13,$AF13,$AL13,$AO13,$AR13,$AU13,$AX13,$BA13,$BD13,$BG13,$BJ13,$BM13),0)," ")</f>
        <v xml:space="preserve"> </v>
      </c>
      <c r="AG12" s="668" t="str">
        <f>IF(AF12&gt;0,IF(ISERROR(($C$1*2)-((AF12-1)*2))," ",(($C$1*2)-((AF12-1)*2))))</f>
        <v xml:space="preserve"> </v>
      </c>
      <c r="AH12" s="49"/>
      <c r="AI12" s="347"/>
      <c r="AJ12" s="347"/>
      <c r="AK12" s="644" t="s">
        <v>39</v>
      </c>
      <c r="AL12" s="48" t="str">
        <f>IF(AL13&gt;0,RANK(AL13,($E13,$H13,$K13,$N13,$Q13,$T13,$W13,$Z13,$AC13,$AF13,$AL13,$AO13,$AR13,$AU13,$AX13,$BA13,$BD13,$BG13,$BJ13,$BM13),0)," ")</f>
        <v xml:space="preserve"> </v>
      </c>
      <c r="AM12" s="647" t="str">
        <f>IF(AL12&gt;0,IF(ISERROR(($C$1*2)-((AL12-1)*2))," ",(($C$1*2)-((AL12-1)*2))))</f>
        <v xml:space="preserve"> </v>
      </c>
      <c r="AN12" s="49"/>
      <c r="AO12" s="48" t="str">
        <f>IF(AO13&gt;0,RANK(AO13,($E13,$H13,$K13,$N13,$Q13,$T13,$W13,$Z13,$AC13,$AF13,$AL13,$AO13,$AR13,$AU13,$AX13,$BA13,$BD13,$BG13,$BJ13,$BM13),0)," ")</f>
        <v xml:space="preserve"> </v>
      </c>
      <c r="AP12" s="647" t="str">
        <f>IF(AO12&gt;0,IF(ISERROR(($C$1*2)-((AO12-1)*2))," ",(($C$1*2)-((AO12-1)*2))))</f>
        <v xml:space="preserve"> </v>
      </c>
      <c r="AQ12" s="49"/>
      <c r="AR12" s="48" t="str">
        <f>IF(AR13&gt;0,RANK(AR13,($E13,$H13,$K13,$N13,$Q13,$T13,$W13,$Z13,$AC13,$AF13,$AL13,$AO13,$AR13,$AU13,$AX13,$BA13,$BD13,$BG13,$BJ13,$BM13),0)," ")</f>
        <v xml:space="preserve"> </v>
      </c>
      <c r="AS12" s="647" t="str">
        <f>IF(AR12&gt;0,IF(ISERROR(($C$1*2)-((AR12-1)*2))," ",(($C$1*2)-((AR12-1)*2))))</f>
        <v xml:space="preserve"> </v>
      </c>
      <c r="AT12" s="49"/>
      <c r="AU12" s="48" t="str">
        <f>IF(AU13&gt;0,RANK(AU13,($E13,$H13,$K13,$N13,$Q13,$T13,$W13,$Z13,$AC13,$AF13,$AL13,$AO13,$AR13,$AU13,$AX13,$BA13,$BD13,$BG13,$BJ13,$BM13),0)," ")</f>
        <v xml:space="preserve"> </v>
      </c>
      <c r="AV12" s="647" t="str">
        <f>IF(AU12&gt;0,IF(ISERROR(($C$1*2)-((AU12-1)*2))," ",(($C$1*2)-((AU12-1)*2))))</f>
        <v xml:space="preserve"> </v>
      </c>
      <c r="AW12" s="49"/>
      <c r="AX12" s="48" t="str">
        <f>IF(AX13&gt;0,RANK(AX13,($E13,$H13,$K13,$N13,$Q13,$T13,$W13,$Z13,$AC13,$AF13,$AL13,$AO13,$AR13,$AU13,$AX13,$BA13,$BD13,$BG13,$BJ13,$BM13),0)," ")</f>
        <v xml:space="preserve"> </v>
      </c>
      <c r="AY12" s="647" t="str">
        <f>IF(AX12&gt;0,IF(ISERROR(($C$1*2)-((AX12-1)*2))," ",(($C$1*2)-((AX12-1)*2))))</f>
        <v xml:space="preserve"> </v>
      </c>
      <c r="AZ12" s="49"/>
      <c r="BA12" s="48" t="str">
        <f>IF(BA13&gt;0,RANK(BA13,($E13,$H13,$K13,$N13,$Q13,$T13,$W13,$Z13,$AC13,$AF13,$AL13,$AO13,$AR13,$AU13,$AX13,$BA13,$BD13,$BG13,$BJ13,$BM13),0)," ")</f>
        <v xml:space="preserve"> </v>
      </c>
      <c r="BB12" s="647" t="str">
        <f>IF(BA12&gt;0,IF(ISERROR(($C$1*2)-((BA12-1)*2))," ",(($C$1*2)-((BA12-1)*2))))</f>
        <v xml:space="preserve"> </v>
      </c>
      <c r="BC12" s="49"/>
      <c r="BD12" s="48" t="str">
        <f>IF(BD13&gt;0,RANK(BD13,($E13,$H13,$K13,$N13,$Q13,$T13,$W13,$Z13,$AC13,$AF13,$AL13,$AO13,$AR13,$AU13,$AX13,$BA13,$BD13,$BG13,$BJ13,$BM13),0)," ")</f>
        <v xml:space="preserve"> </v>
      </c>
      <c r="BE12" s="647" t="str">
        <f>IF(BD12&gt;0,IF(ISERROR(($C$1*2)-((BD12-1)*2))," ",(($C$1*2)-((BD12-1)*2))))</f>
        <v xml:space="preserve"> </v>
      </c>
      <c r="BF12" s="49"/>
      <c r="BG12" s="48" t="str">
        <f>IF(BG13&gt;0,RANK(BG13,($E13,$H13,$K13,$N13,$Q13,$T13,$W13,$Z13,$AC13,$AF13,$AL13,$AO13,$AR13,$AU13,$AX13,$BA13,$BD13,$BG13,$BJ13,$BM13),0)," ")</f>
        <v xml:space="preserve"> </v>
      </c>
      <c r="BH12" s="647" t="str">
        <f>IF(BG12&gt;0,IF(ISERROR(($C$1*2)-((BG12-1)*2))," ",(($C$1*2)-((BG12-1)*2))))</f>
        <v xml:space="preserve"> </v>
      </c>
      <c r="BI12" s="49"/>
      <c r="BJ12" s="48" t="str">
        <f>IF(BJ13&gt;0,RANK(BJ13,($E13,$H13,$K13,$N13,$Q13,$T13,$W13,$Z13,$AC13,$AF13,$AL13,$AO13,$AR13,$AU13,$AX13,$BA13,$BD13,$BG13,$BJ13,$BM13),0)," ")</f>
        <v xml:space="preserve"> </v>
      </c>
      <c r="BK12" s="647" t="str">
        <f>IF(BJ12&gt;0,IF(ISERROR(($C$1*2)-((BJ12-1)*2))," ",(($C$1*2)-((BJ12-1)*2))))</f>
        <v xml:space="preserve"> </v>
      </c>
      <c r="BL12" s="49"/>
      <c r="BM12" s="48" t="str">
        <f>IF(BM13&gt;0,RANK(BM13,($E13,$H13,$K13,$N13,$Q13,$T13,$W13,$Z13,$AC13,$AF13,$AL13,$AO13,$AR13,$AU13,$AX13,$BA13,$BD13,$BG13,$BJ13,$BM13),0)," ")</f>
        <v xml:space="preserve"> </v>
      </c>
      <c r="BN12" s="668" t="str">
        <f>IF(BM12&gt;0,IF(ISERROR(($C$1*2)-((BM12-1)*2))," ",(($C$1*2)-((BM12-1)*2))))</f>
        <v xml:space="preserve"> </v>
      </c>
    </row>
    <row r="13" spans="1:74" ht="16" customHeight="1" thickBot="1" x14ac:dyDescent="0.3">
      <c r="C13" s="644"/>
      <c r="D13" s="50">
        <f>SUMPRODUCT(LARGE((Input!$D$11:$D$985=1)*Input!$P$11:$P$985,1))</f>
        <v>0</v>
      </c>
      <c r="E13" s="51">
        <f>IF($A$1=4,SUM(D13:D16),IF($A$1=5,SUM(D13:D17),IF($A$1=6,SUM(D13:D18),IF($A$1=7,SUM(D13:D19),IF($A$1=8,SUM(D13:D20),IF($A$1=9,SUM(D13:D21),IF($A$1=10,SUM(D13:D22))))))))</f>
        <v>0</v>
      </c>
      <c r="F13" s="648"/>
      <c r="G13" s="52">
        <f>SUMPRODUCT(LARGE((Input!D$11:D$985=2)*Input!P$11:P$985,1))</f>
        <v>0</v>
      </c>
      <c r="H13" s="53">
        <f>IF($A$1=4,SUM(G13:G16),IF($A$1=5,SUM(G13:G17),IF($A$1=6,SUM(G13:G18),IF($A$1=7,SUM(G13:G19),IF($A$1=8,SUM(G13:G20),IF($A$1=9,SUM(G13:G21),IF($A$1=10,SUM(G13:G22))))))))</f>
        <v>0</v>
      </c>
      <c r="I13" s="648"/>
      <c r="J13" s="52">
        <f>SUMPRODUCT(LARGE((Input!D$11:D$985=3)*Input!P$11:P$985,1))</f>
        <v>0</v>
      </c>
      <c r="K13" s="53">
        <f>IF($A$1=4,SUM(J13:J16),IF($A$1=5,SUM(J13:J17),IF($A$1=6,SUM(J13:J18),IF($A$1=7,SUM(J13:J19),IF($A$1=8,SUM(J13:J20),IF($A$1=9,SUM(J13:J21),IF($A$1=10,SUM(J13:J22))))))))</f>
        <v>0</v>
      </c>
      <c r="L13" s="674"/>
      <c r="M13" s="54">
        <f>SUMPRODUCT(LARGE((Input!D$11:D$985=4)*Input!P$11:P$985,1))</f>
        <v>0</v>
      </c>
      <c r="N13" s="53">
        <f>IF($A$1=4,SUM(M13:M16),IF($A$1=5,SUM(M13:M17),IF($A$1=6,SUM(M13:M18),IF($A$1=7,SUM(M13:M19),IF($A$1=8,SUM(M13:M20),IF($A$1=9,SUM(M13:M21),IF($A$1=10,SUM(M13:M22))))))))</f>
        <v>0</v>
      </c>
      <c r="O13" s="648"/>
      <c r="P13" s="52">
        <f>SUMPRODUCT(LARGE((Input!D$11:D$985=5)*Input!P$11:P$985,1))</f>
        <v>0</v>
      </c>
      <c r="Q13" s="53">
        <f>IF($A$1=4,SUM(P13:P16),IF($A$1=5,SUM(P13:P17),IF($A$1=6,SUM(P13:P18),IF($A$1=7,SUM(P13:P19),IF($A$1=8,SUM(P13:P20),IF($A$1=9,SUM(P13:P21),IF($A$1=10,SUM(P13:P22))))))))</f>
        <v>0</v>
      </c>
      <c r="R13" s="648"/>
      <c r="S13" s="52">
        <f>SUMPRODUCT(LARGE((Input!D$11:D$985=6)*Input!P$11:P$985,1))</f>
        <v>0</v>
      </c>
      <c r="T13" s="53">
        <f>IF($A$1=4,SUM(S13:S16),IF($A$1=5,SUM(S13:S17),IF($A$1=6,SUM(S13:S18),IF($A$1=7,SUM(S13:S19),IF($A$1=8,SUM(S13:S20),IF($A$1=9,SUM(S13:S21),IF($A$1=10,SUM(S13:S22))))))))</f>
        <v>0</v>
      </c>
      <c r="U13" s="648"/>
      <c r="V13" s="52">
        <f>SUMPRODUCT(LARGE((Input!D$11:D$985=7)*Input!P$11:P$985,1))</f>
        <v>0</v>
      </c>
      <c r="W13" s="53">
        <f>IF($A$1=4,SUM(V13:V16),IF($A$1=5,SUM(V13:V17),IF($A$1=6,SUM(V13:V18),IF($A$1=7,SUM(V13:V19),IF($A$1=8,SUM(V13:V20),IF($A$1=9,SUM(V13:V21),IF($A$1=10,SUM(V13:V22))))))))</f>
        <v>0</v>
      </c>
      <c r="X13" s="648"/>
      <c r="Y13" s="52">
        <f>SUMPRODUCT(LARGE((Input!D$11:D$985=8)*Input!P$11:P$985,1))</f>
        <v>0</v>
      </c>
      <c r="Z13" s="53">
        <f>IF($A$1=4,SUM(Y13:Y16),IF($A$1=5,SUM(Y13:Y17),IF($A$1=6,SUM(Y13:Y18),IF($A$1=7,SUM(Y13:Y19),IF($A$1=8,SUM(Y13:Y20),IF($A$1=9,SUM(Y13:Y21),IF($A$1=10,SUM(Y13:Y22))))))))</f>
        <v>0</v>
      </c>
      <c r="AA13" s="648"/>
      <c r="AB13" s="52">
        <f>SUMPRODUCT(LARGE((Input!D$11:D$985=9)*Input!P$11:P$985,1))</f>
        <v>0</v>
      </c>
      <c r="AC13" s="53">
        <f>IF($A$1=4,SUM(AB13:AB16),IF($A$1=5,SUM(AB13:AB17),IF($A$1=6,SUM(AB13:AB18),IF($A$1=7,SUM(AB13:AB19),IF($A$1=8,SUM(AB13:AB20),IF($A$1=9,SUM(AB13:AB21),IF($A$1=10,SUM(AB13:AB22))))))))</f>
        <v>0</v>
      </c>
      <c r="AD13" s="648"/>
      <c r="AE13" s="52">
        <f>SUMPRODUCT(LARGE((Input!D$11:D$985=10)*Input!P$11:P$985,1))</f>
        <v>0</v>
      </c>
      <c r="AF13" s="53">
        <f>IF($A$1=4,SUM(AE13:AE16),IF($A$1=5,SUM(AE13:AE17),IF($A$1=6,SUM(AE13:AE18),IF($A$1=7,SUM(AE13:AE19),IF($A$1=8,SUM(AE13:AE20),IF($A$1=9,SUM(AE13:AE21),IF($A$1=10,SUM(AE13:AE22))))))))</f>
        <v>0</v>
      </c>
      <c r="AG13" s="669"/>
      <c r="AH13" s="50">
        <f>SUMPRODUCT(LARGE((Input!$D$11:$D$985=11)*Input!$P$11:$P$985,1))</f>
        <v>0</v>
      </c>
      <c r="AI13" s="64"/>
      <c r="AJ13" s="64"/>
      <c r="AK13" s="644"/>
      <c r="AL13" s="53">
        <f>IF($A$1=4,SUM(AH13:AH16),IF($A$1=5,SUM(AH13:AH17),IF($A$1=6,SUM(AH13:AH18),IF($A$1=7,SUM(AH13:AH19),IF($A$1=8,SUM(AH13:AH20),IF($A$1=9,SUM(AH13:AH21),IF($A$1=10,SUM(AH13:AH22))))))))</f>
        <v>0</v>
      </c>
      <c r="AM13" s="648"/>
      <c r="AN13" s="50">
        <f>SUMPRODUCT(LARGE((Input!$D$11:$D$985=12)*Input!$P$11:$P$985,1))</f>
        <v>0</v>
      </c>
      <c r="AO13" s="53">
        <f>IF($A$1=4,SUM(AN13:AN16),IF($A$1=5,SUM(AN13:AN17),IF($A$1=6,SUM(AN13:AN18),IF($A$1=7,SUM(AN13:AN19),IF($A$1=8,SUM(AN13:AN20),IF($A$1=9,SUM(AN13:AN21),IF($A$1=10,SUM(AN13:AN22))))))))</f>
        <v>0</v>
      </c>
      <c r="AP13" s="648"/>
      <c r="AQ13" s="50">
        <f>SUMPRODUCT(LARGE((Input!$D$11:$D$985=13)*Input!$P$11:$P$985,1))</f>
        <v>0</v>
      </c>
      <c r="AR13" s="53">
        <f>IF($A$1=4,SUM(AQ13:AQ16),IF($A$1=5,SUM(AQ13:AQ17),IF($A$1=6,SUM(AQ13:AQ18),IF($A$1=7,SUM(AQ13:AQ19),IF($A$1=8,SUM(AQ13:AQ20),IF($A$1=9,SUM(AQ13:AQ21),IF($A$1=10,SUM(AQ13:AQ22))))))))</f>
        <v>0</v>
      </c>
      <c r="AS13" s="648"/>
      <c r="AT13" s="50">
        <f>SUMPRODUCT(LARGE((Input!$D$11:$D$985=14)*Input!$P$11:$P$985,1))</f>
        <v>0</v>
      </c>
      <c r="AU13" s="53">
        <f>IF($A$1=4,SUM(AT13:AT16),IF($A$1=5,SUM(AT13:AT17),IF($A$1=6,SUM(AT13:AT18),IF($A$1=7,SUM(AT13:AT19),IF($A$1=8,SUM(AT13:AT20),IF($A$1=9,SUM(AT13:AT21),IF($A$1=10,SUM(AT13:AT22))))))))</f>
        <v>0</v>
      </c>
      <c r="AV13" s="648"/>
      <c r="AW13" s="50">
        <f>SUMPRODUCT(LARGE((Input!$D$11:$D$985=15)*Input!$P$11:$P$985,1))</f>
        <v>0</v>
      </c>
      <c r="AX13" s="53">
        <f>IF($A$1=4,SUM(AW13:AW16),IF($A$1=5,SUM(AW13:AW17),IF($A$1=6,SUM(AW13:AW18),IF($A$1=7,SUM(AW13:AW19),IF($A$1=8,SUM(AW13:AW20),IF($A$1=9,SUM(AW13:AW21),IF($A$1=10,SUM(AW13:AW22))))))))</f>
        <v>0</v>
      </c>
      <c r="AY13" s="648"/>
      <c r="AZ13" s="50">
        <f>SUMPRODUCT(LARGE((Input!$D$11:$D$985=16)*Input!$P$11:$P$985,1))</f>
        <v>0</v>
      </c>
      <c r="BA13" s="53">
        <f>IF($A$1=4,SUM(AZ13:AZ16),IF($A$1=5,SUM(AZ13:AZ17),IF($A$1=6,SUM(AZ13:AZ18),IF($A$1=7,SUM(AZ13:AZ19),IF($A$1=8,SUM(AZ13:AZ20),IF($A$1=9,SUM(AZ13:AZ21),IF($A$1=10,SUM(AZ13:AZ22))))))))</f>
        <v>0</v>
      </c>
      <c r="BB13" s="648"/>
      <c r="BC13" s="50">
        <f>SUMPRODUCT(LARGE((Input!$D$11:$D$985=17)*Input!$P$11:$P$985,1))</f>
        <v>0</v>
      </c>
      <c r="BD13" s="53">
        <f>IF($A$1=4,SUM(BC13:BC16),IF($A$1=5,SUM(BC13:BC17),IF($A$1=6,SUM(BC13:BC18),IF($A$1=7,SUM(BC13:BC19),IF($A$1=8,SUM(BC13:BC20),IF($A$1=9,SUM(BC13:BC21),IF($A$1=10,SUM(BC13:BC22))))))))</f>
        <v>0</v>
      </c>
      <c r="BE13" s="648"/>
      <c r="BF13" s="50">
        <f>SUMPRODUCT(LARGE((Input!$D$11:$D$985=18)*Input!$P$11:$P$985,1))</f>
        <v>0</v>
      </c>
      <c r="BG13" s="53">
        <f>IF($A$1=4,SUM(BF13:BF16),IF($A$1=5,SUM(BF13:BF17),IF($A$1=6,SUM(BF13:BF18),IF($A$1=7,SUM(BF13:BF19),IF($A$1=8,SUM(BF13:BF20),IF($A$1=9,SUM(BF13:BF21),IF($A$1=10,SUM(BF13:BF22))))))))</f>
        <v>0</v>
      </c>
      <c r="BH13" s="648"/>
      <c r="BI13" s="50">
        <f>SUMPRODUCT(LARGE((Input!$D$11:$D$985=19)*Input!$P$11:$P$985,1))</f>
        <v>0</v>
      </c>
      <c r="BJ13" s="53">
        <f>IF($A$1=4,SUM(BI13:BI16),IF($A$1=5,SUM(BI13:BI17),IF($A$1=6,SUM(BI13:BI18),IF($A$1=7,SUM(BI13:BI19),IF($A$1=8,SUM(BI13:BI20),IF($A$1=9,SUM(BI13:BI21),IF($A$1=10,SUM(BI13:BI22))))))))</f>
        <v>0</v>
      </c>
      <c r="BK13" s="648"/>
      <c r="BL13" s="50">
        <f>SUMPRODUCT(LARGE((Input!$D$11:$D$985=20)*Input!$P$11:$P$985,1))</f>
        <v>0</v>
      </c>
      <c r="BM13" s="53">
        <f>IF($A$1=4,SUM(BL13:BL16),IF($A$1=5,SUM(BL13:BL17),IF($A$1=6,SUM(BL13:BL18),IF($A$1=7,SUM(BL13:BL19),IF($A$1=8,SUM(BL13:BL20),IF($A$1=9,SUM(BL13:BL21),IF($A$1=10,SUM(BL13:BL22))))))))</f>
        <v>0</v>
      </c>
      <c r="BN13" s="669"/>
    </row>
    <row r="14" spans="1:74" ht="13.5" hidden="1" thickBot="1" x14ac:dyDescent="0.3">
      <c r="C14" s="11"/>
      <c r="D14" s="30">
        <f>SUMPRODUCT(LARGE((Input!$D$11:$D$985=1)*Input!$P$11:$P$985,2))</f>
        <v>0</v>
      </c>
      <c r="E14" s="31"/>
      <c r="F14" s="55"/>
      <c r="G14" s="32">
        <f>SUMPRODUCT(LARGE((Input!D$11:D$985=2)*Input!P$11:P$985,2))</f>
        <v>0</v>
      </c>
      <c r="H14" s="33"/>
      <c r="I14" s="55"/>
      <c r="J14" s="32">
        <f>SUMPRODUCT(LARGE((Input!D$11:D$985=3)*Input!P$11:P$985,2))</f>
        <v>0</v>
      </c>
      <c r="K14" s="33"/>
      <c r="L14" s="56"/>
      <c r="M14" s="34">
        <f>SUMPRODUCT(LARGE((Input!D$11:D$985=4)*Input!P$11:P$985,2))</f>
        <v>0</v>
      </c>
      <c r="N14" s="33"/>
      <c r="O14" s="55"/>
      <c r="P14" s="32">
        <f>SUMPRODUCT(LARGE((Input!D$11:D$985=5)*Input!P$11:P$985,2))</f>
        <v>0</v>
      </c>
      <c r="Q14" s="33"/>
      <c r="R14" s="55"/>
      <c r="S14" s="32">
        <f>SUMPRODUCT(LARGE((Input!D$11:D$985=6)*Input!P$11:P$985,2))</f>
        <v>0</v>
      </c>
      <c r="T14" s="33"/>
      <c r="U14" s="55"/>
      <c r="V14" s="32">
        <f>SUMPRODUCT(LARGE((Input!D$11:D$985=7)*Input!P$11:P$985,2))</f>
        <v>0</v>
      </c>
      <c r="W14" s="33"/>
      <c r="X14" s="55"/>
      <c r="Y14" s="32">
        <f>SUMPRODUCT(LARGE((Input!D$11:D$985=8)*Input!P$11:P$985,2))</f>
        <v>0</v>
      </c>
      <c r="Z14" s="33"/>
      <c r="AA14" s="55"/>
      <c r="AB14" s="32">
        <f>SUMPRODUCT(LARGE((Input!D$11:D$985=9)*Input!P$11:P$985,2))</f>
        <v>0</v>
      </c>
      <c r="AC14" s="33"/>
      <c r="AD14" s="55"/>
      <c r="AE14" s="32">
        <f>SUMPRODUCT(LARGE((Input!D$11:D$985=10)*Input!P$11:P$985,2))</f>
        <v>0</v>
      </c>
      <c r="AF14" s="33"/>
      <c r="AG14" s="57"/>
      <c r="AH14" s="30">
        <f>SUMPRODUCT(LARGE((Input!$D$11:$D$985=11)*Input!$P$11:$P$985,2))</f>
        <v>0</v>
      </c>
      <c r="AI14" s="64"/>
      <c r="AJ14" s="64"/>
      <c r="AK14" s="11"/>
      <c r="AL14" s="33"/>
      <c r="AM14" s="55"/>
      <c r="AN14" s="30">
        <f>SUMPRODUCT(LARGE((Input!$D$11:$D$985=12)*Input!$P$11:$P$985,2))</f>
        <v>0</v>
      </c>
      <c r="AO14" s="33"/>
      <c r="AP14" s="55"/>
      <c r="AQ14" s="30">
        <f>SUMPRODUCT(LARGE((Input!$D$11:$D$985=13)*Input!$P$11:$P$985,2))</f>
        <v>0</v>
      </c>
      <c r="AR14" s="33"/>
      <c r="AS14" s="55"/>
      <c r="AT14" s="30">
        <f>SUMPRODUCT(LARGE((Input!$D$11:$D$985=14)*Input!$P$11:$P$985,2))</f>
        <v>0</v>
      </c>
      <c r="AU14" s="33"/>
      <c r="AV14" s="55"/>
      <c r="AW14" s="30">
        <f>SUMPRODUCT(LARGE((Input!$D$11:$D$985=15)*Input!$P$11:$P$985,2))</f>
        <v>0</v>
      </c>
      <c r="AX14" s="33"/>
      <c r="AY14" s="55"/>
      <c r="AZ14" s="30">
        <f>SUMPRODUCT(LARGE((Input!$D$11:$D$985=16)*Input!$P$11:$P$985,2))</f>
        <v>0</v>
      </c>
      <c r="BA14" s="33"/>
      <c r="BB14" s="55"/>
      <c r="BC14" s="30">
        <f>SUMPRODUCT(LARGE((Input!$D$11:$D$985=17)*Input!$P$11:$P$985,2))</f>
        <v>0</v>
      </c>
      <c r="BD14" s="33"/>
      <c r="BE14" s="55"/>
      <c r="BF14" s="30">
        <f>SUMPRODUCT(LARGE((Input!$D$11:$D$985=18)*Input!$P$11:$P$985,2))</f>
        <v>0</v>
      </c>
      <c r="BG14" s="33"/>
      <c r="BH14" s="55"/>
      <c r="BI14" s="30">
        <f>SUMPRODUCT(LARGE((Input!$D$11:$D$985=19)*Input!$P$11:$P$985,2))</f>
        <v>0</v>
      </c>
      <c r="BJ14" s="33"/>
      <c r="BK14" s="55"/>
      <c r="BL14" s="30">
        <f>SUMPRODUCT(LARGE((Input!$D$11:$D$985=20)*Input!$P$11:$P$985,2))</f>
        <v>0</v>
      </c>
      <c r="BM14" s="33"/>
      <c r="BN14" s="57"/>
    </row>
    <row r="15" spans="1:74" ht="13.5" hidden="1" thickBot="1" x14ac:dyDescent="0.3">
      <c r="C15" s="11"/>
      <c r="D15" s="30">
        <f>SUMPRODUCT(LARGE((Input!$D$11:$D$985=1)*Input!$P$11:$P$985,3))</f>
        <v>0</v>
      </c>
      <c r="E15" s="35"/>
      <c r="F15" s="37"/>
      <c r="G15" s="32">
        <f>SUMPRODUCT(LARGE((Input!D$11:D$985=2)*Input!P$11:P$985,3))</f>
        <v>0</v>
      </c>
      <c r="H15" s="36"/>
      <c r="I15" s="37"/>
      <c r="J15" s="32">
        <f>SUMPRODUCT(LARGE((Input!D$11:D$985=3)*Input!P$11:P$985,3))</f>
        <v>0</v>
      </c>
      <c r="K15" s="36"/>
      <c r="L15" s="38"/>
      <c r="M15" s="34">
        <f>SUMPRODUCT(LARGE((Input!D$11:D$985=4)*Input!P$11:P$985,3))</f>
        <v>0</v>
      </c>
      <c r="N15" s="36"/>
      <c r="O15" s="37"/>
      <c r="P15" s="32">
        <f>SUMPRODUCT(LARGE((Input!D$11:D$985=5)*Input!P$11:P$985,3))</f>
        <v>0</v>
      </c>
      <c r="Q15" s="36"/>
      <c r="R15" s="37"/>
      <c r="S15" s="32">
        <f>SUMPRODUCT(LARGE((Input!D$11:D$985=6)*Input!P$11:P$985,3))</f>
        <v>0</v>
      </c>
      <c r="T15" s="36"/>
      <c r="U15" s="37"/>
      <c r="V15" s="32">
        <f>SUMPRODUCT(LARGE((Input!D$11:D$985=7)*Input!P$11:P$985,3))</f>
        <v>0</v>
      </c>
      <c r="W15" s="36"/>
      <c r="X15" s="37"/>
      <c r="Y15" s="32">
        <f>SUMPRODUCT(LARGE((Input!D$11:D$985=8)*Input!P$11:P$985,3))</f>
        <v>0</v>
      </c>
      <c r="Z15" s="36"/>
      <c r="AA15" s="37"/>
      <c r="AB15" s="32">
        <f>SUMPRODUCT(LARGE((Input!D$11:D$985=9)*Input!P$11:P$985,3))</f>
        <v>0</v>
      </c>
      <c r="AC15" s="36"/>
      <c r="AD15" s="37"/>
      <c r="AE15" s="32">
        <f>SUMPRODUCT(LARGE((Input!D$11:D$985=10)*Input!P$11:P$985,3))</f>
        <v>0</v>
      </c>
      <c r="AF15" s="36"/>
      <c r="AG15" s="314"/>
      <c r="AH15" s="30">
        <f>SUMPRODUCT(LARGE((Input!$D$11:$D$985=11)*Input!$P$11:$P$985,3))</f>
        <v>0</v>
      </c>
      <c r="AI15" s="64"/>
      <c r="AJ15" s="64"/>
      <c r="AK15" s="11"/>
      <c r="AL15" s="36"/>
      <c r="AM15" s="37"/>
      <c r="AN15" s="30">
        <f>SUMPRODUCT(LARGE((Input!$D$11:$D$985=12)*Input!$P$11:$P$985,3))</f>
        <v>0</v>
      </c>
      <c r="AO15" s="36"/>
      <c r="AP15" s="37"/>
      <c r="AQ15" s="30">
        <f>SUMPRODUCT(LARGE((Input!$D$11:$D$985=13)*Input!$P$11:$P$985,3))</f>
        <v>0</v>
      </c>
      <c r="AR15" s="36"/>
      <c r="AS15" s="37"/>
      <c r="AT15" s="30">
        <f>SUMPRODUCT(LARGE((Input!$D$11:$D$985=14)*Input!$P$11:$P$985,3))</f>
        <v>0</v>
      </c>
      <c r="AU15" s="36"/>
      <c r="AV15" s="37"/>
      <c r="AW15" s="30">
        <f>SUMPRODUCT(LARGE((Input!$D$11:$D$985=15)*Input!$P$11:$P$985,3))</f>
        <v>0</v>
      </c>
      <c r="AX15" s="36"/>
      <c r="AY15" s="37"/>
      <c r="AZ15" s="30">
        <f>SUMPRODUCT(LARGE((Input!$D$11:$D$985=16)*Input!$P$11:$P$985,3))</f>
        <v>0</v>
      </c>
      <c r="BA15" s="36"/>
      <c r="BB15" s="37"/>
      <c r="BC15" s="30">
        <f>SUMPRODUCT(LARGE((Input!$D$11:$D$985=17)*Input!$P$11:$P$985,3))</f>
        <v>0</v>
      </c>
      <c r="BD15" s="36"/>
      <c r="BE15" s="37"/>
      <c r="BF15" s="30">
        <f>SUMPRODUCT(LARGE((Input!$D$11:$D$985=18)*Input!$P$11:$P$985,3))</f>
        <v>0</v>
      </c>
      <c r="BG15" s="36"/>
      <c r="BH15" s="37"/>
      <c r="BI15" s="30">
        <f>SUMPRODUCT(LARGE((Input!$D$11:$D$985=19)*Input!$P$11:$P$985,3))</f>
        <v>0</v>
      </c>
      <c r="BJ15" s="36"/>
      <c r="BK15" s="37"/>
      <c r="BL15" s="30">
        <f>SUMPRODUCT(LARGE((Input!$D$11:$D$985=20)*Input!$P$11:$P$985,3))</f>
        <v>0</v>
      </c>
      <c r="BM15" s="36"/>
      <c r="BN15" s="39"/>
    </row>
    <row r="16" spans="1:74" ht="13.5" hidden="1" thickBot="1" x14ac:dyDescent="0.3">
      <c r="C16" s="11"/>
      <c r="D16" s="30">
        <f>SUMPRODUCT(LARGE((Input!$D$11:$D$985=1)*Input!$P$11:$P$985,4))</f>
        <v>0</v>
      </c>
      <c r="E16" s="35"/>
      <c r="F16" s="37"/>
      <c r="G16" s="32">
        <f>SUMPRODUCT(LARGE((Input!D$11:D$985=2)*Input!P$11:P$985,4))</f>
        <v>0</v>
      </c>
      <c r="H16" s="36"/>
      <c r="I16" s="37"/>
      <c r="J16" s="32">
        <f>SUMPRODUCT(LARGE((Input!D$11:D$985=3)*Input!P$11:P$985,4))</f>
        <v>0</v>
      </c>
      <c r="K16" s="36"/>
      <c r="L16" s="38"/>
      <c r="M16" s="34">
        <f>SUMPRODUCT(LARGE((Input!D$11:D$985=4)*Input!P$11:P$985,4))</f>
        <v>0</v>
      </c>
      <c r="N16" s="36"/>
      <c r="O16" s="37"/>
      <c r="P16" s="32">
        <f>SUMPRODUCT(LARGE((Input!D$11:D$985=5)*Input!P$11:P$985,4))</f>
        <v>0</v>
      </c>
      <c r="Q16" s="36"/>
      <c r="R16" s="37"/>
      <c r="S16" s="32">
        <f>SUMPRODUCT(LARGE((Input!D$11:D$985=6)*Input!P$11:P$985,4))</f>
        <v>0</v>
      </c>
      <c r="T16" s="36"/>
      <c r="U16" s="37"/>
      <c r="V16" s="32">
        <f>SUMPRODUCT(LARGE((Input!D$11:D$985=7)*Input!P$11:P$985,4))</f>
        <v>0</v>
      </c>
      <c r="W16" s="36"/>
      <c r="X16" s="37"/>
      <c r="Y16" s="32">
        <f>SUMPRODUCT(LARGE((Input!D$11:D$985=8)*Input!P$11:P$985,4))</f>
        <v>0</v>
      </c>
      <c r="Z16" s="36"/>
      <c r="AA16" s="37"/>
      <c r="AB16" s="32">
        <f>SUMPRODUCT(LARGE((Input!D$11:D$985=9)*Input!P$11:P$985,4))</f>
        <v>0</v>
      </c>
      <c r="AC16" s="36"/>
      <c r="AD16" s="37"/>
      <c r="AE16" s="32">
        <f>SUMPRODUCT(LARGE((Input!D$11:D$985=10)*Input!P$11:P$985,4))</f>
        <v>0</v>
      </c>
      <c r="AF16" s="36"/>
      <c r="AG16" s="314"/>
      <c r="AH16" s="30">
        <f>SUMPRODUCT(LARGE((Input!$D$11:$D$985=11)*Input!$P$11:$P$985,4))</f>
        <v>0</v>
      </c>
      <c r="AI16" s="64"/>
      <c r="AJ16" s="64"/>
      <c r="AK16" s="11"/>
      <c r="AL16" s="36"/>
      <c r="AM16" s="37"/>
      <c r="AN16" s="30">
        <f>SUMPRODUCT(LARGE((Input!$D$11:$D$985=12)*Input!$P$11:$P$985,4))</f>
        <v>0</v>
      </c>
      <c r="AO16" s="36"/>
      <c r="AP16" s="37"/>
      <c r="AQ16" s="30">
        <f>SUMPRODUCT(LARGE((Input!$D$11:$D$985=13)*Input!$P$11:$P$985,4))</f>
        <v>0</v>
      </c>
      <c r="AR16" s="36"/>
      <c r="AS16" s="37"/>
      <c r="AT16" s="30">
        <f>SUMPRODUCT(LARGE((Input!$D$11:$D$985=14)*Input!$P$11:$P$985,4))</f>
        <v>0</v>
      </c>
      <c r="AU16" s="36"/>
      <c r="AV16" s="37"/>
      <c r="AW16" s="30">
        <f>SUMPRODUCT(LARGE((Input!$D$11:$D$985=15)*Input!$P$11:$P$985,4))</f>
        <v>0</v>
      </c>
      <c r="AX16" s="36"/>
      <c r="AY16" s="37"/>
      <c r="AZ16" s="30">
        <f>SUMPRODUCT(LARGE((Input!$D$11:$D$985=16)*Input!$P$11:$P$985,4))</f>
        <v>0</v>
      </c>
      <c r="BA16" s="36"/>
      <c r="BB16" s="37"/>
      <c r="BC16" s="30">
        <f>SUMPRODUCT(LARGE((Input!$D$11:$D$985=17)*Input!$P$11:$P$985,4))</f>
        <v>0</v>
      </c>
      <c r="BD16" s="36"/>
      <c r="BE16" s="37"/>
      <c r="BF16" s="30">
        <f>SUMPRODUCT(LARGE((Input!$D$11:$D$985=18)*Input!$P$11:$P$985,4))</f>
        <v>0</v>
      </c>
      <c r="BG16" s="36"/>
      <c r="BH16" s="37"/>
      <c r="BI16" s="30">
        <f>SUMPRODUCT(LARGE((Input!$D$11:$D$985=19)*Input!$P$11:$P$985,4))</f>
        <v>0</v>
      </c>
      <c r="BJ16" s="36"/>
      <c r="BK16" s="37"/>
      <c r="BL16" s="30">
        <f>SUMPRODUCT(LARGE((Input!$D$11:$D$985=20)*Input!$P$11:$P$985,4))</f>
        <v>0</v>
      </c>
      <c r="BM16" s="36"/>
      <c r="BN16" s="39"/>
    </row>
    <row r="17" spans="3:66" ht="13.5" hidden="1" thickBot="1" x14ac:dyDescent="0.3">
      <c r="C17" s="11"/>
      <c r="D17" s="30">
        <f>SUMPRODUCT(LARGE((Input!$D$11:$D$985=1)*Input!$P$11:$P$985,5))</f>
        <v>0</v>
      </c>
      <c r="E17" s="35"/>
      <c r="F17" s="37"/>
      <c r="G17" s="32">
        <f>SUMPRODUCT(LARGE((Input!D$11:D$985=2)*Input!P$11:P$985,5))</f>
        <v>0</v>
      </c>
      <c r="H17" s="36"/>
      <c r="I17" s="37"/>
      <c r="J17" s="32">
        <f>SUMPRODUCT(LARGE((Input!D$11:D$985=3)*Input!P$11:P$985,5))</f>
        <v>0</v>
      </c>
      <c r="K17" s="36"/>
      <c r="L17" s="38"/>
      <c r="M17" s="34">
        <f>SUMPRODUCT(LARGE((Input!D$11:D$985=4)*Input!P$11:P$985,5))</f>
        <v>0</v>
      </c>
      <c r="N17" s="36"/>
      <c r="O17" s="37"/>
      <c r="P17" s="32">
        <f>SUMPRODUCT(LARGE((Input!D$11:D$985=5)*Input!P$11:P$985,5))</f>
        <v>0</v>
      </c>
      <c r="Q17" s="36"/>
      <c r="R17" s="37"/>
      <c r="S17" s="32">
        <f>SUMPRODUCT(LARGE((Input!D$11:D$985=6)*Input!P$11:P$985,5))</f>
        <v>0</v>
      </c>
      <c r="T17" s="36"/>
      <c r="U17" s="37"/>
      <c r="V17" s="32">
        <f>SUMPRODUCT(LARGE((Input!D$11:D$985=7)*Input!P$11:P$985,5))</f>
        <v>0</v>
      </c>
      <c r="W17" s="36"/>
      <c r="X17" s="37"/>
      <c r="Y17" s="32">
        <f>SUMPRODUCT(LARGE((Input!D$11:D$985=8)*Input!P$11:P$985,5))</f>
        <v>0</v>
      </c>
      <c r="Z17" s="36"/>
      <c r="AA17" s="37"/>
      <c r="AB17" s="32">
        <f>SUMPRODUCT(LARGE((Input!D$11:D$985=9)*Input!P$11:P$985,5))</f>
        <v>0</v>
      </c>
      <c r="AC17" s="36"/>
      <c r="AD17" s="37"/>
      <c r="AE17" s="32">
        <f>SUMPRODUCT(LARGE((Input!D$11:D$985=10)*Input!P$11:P$985,5))</f>
        <v>0</v>
      </c>
      <c r="AF17" s="36"/>
      <c r="AG17" s="314"/>
      <c r="AH17" s="30">
        <f>SUMPRODUCT(LARGE((Input!$D$11:$D$985=11)*Input!$P$11:$P$985,5))</f>
        <v>0</v>
      </c>
      <c r="AI17" s="64"/>
      <c r="AJ17" s="64"/>
      <c r="AK17" s="11"/>
      <c r="AL17" s="36"/>
      <c r="AM17" s="37"/>
      <c r="AN17" s="30">
        <f>SUMPRODUCT(LARGE((Input!$D$11:$D$985=12)*Input!$P$11:$P$985,5))</f>
        <v>0</v>
      </c>
      <c r="AO17" s="36"/>
      <c r="AP17" s="37"/>
      <c r="AQ17" s="30">
        <f>SUMPRODUCT(LARGE((Input!$D$11:$D$985=13)*Input!$P$11:$P$985,5))</f>
        <v>0</v>
      </c>
      <c r="AR17" s="36"/>
      <c r="AS17" s="37"/>
      <c r="AT17" s="30">
        <f>SUMPRODUCT(LARGE((Input!$D$11:$D$985=14)*Input!$P$11:$P$985,5))</f>
        <v>0</v>
      </c>
      <c r="AU17" s="36"/>
      <c r="AV17" s="37"/>
      <c r="AW17" s="30">
        <f>SUMPRODUCT(LARGE((Input!$D$11:$D$985=15)*Input!$P$11:$P$985,5))</f>
        <v>0</v>
      </c>
      <c r="AX17" s="36"/>
      <c r="AY17" s="37"/>
      <c r="AZ17" s="30">
        <f>SUMPRODUCT(LARGE((Input!$D$11:$D$985=16)*Input!$P$11:$P$985,5))</f>
        <v>0</v>
      </c>
      <c r="BA17" s="36"/>
      <c r="BB17" s="37"/>
      <c r="BC17" s="30">
        <f>SUMPRODUCT(LARGE((Input!$D$11:$D$985=17)*Input!$P$11:$P$985,5))</f>
        <v>0</v>
      </c>
      <c r="BD17" s="36"/>
      <c r="BE17" s="37"/>
      <c r="BF17" s="30">
        <f>SUMPRODUCT(LARGE((Input!$D$11:$D$985=18)*Input!$P$11:$P$985,5))</f>
        <v>0</v>
      </c>
      <c r="BG17" s="36"/>
      <c r="BH17" s="37"/>
      <c r="BI17" s="30">
        <f>SUMPRODUCT(LARGE((Input!$D$11:$D$985=19)*Input!$P$11:$P$985,5))</f>
        <v>0</v>
      </c>
      <c r="BJ17" s="36"/>
      <c r="BK17" s="37"/>
      <c r="BL17" s="30">
        <f>SUMPRODUCT(LARGE((Input!$D$11:$D$985=20)*Input!$P$11:$P$985,5))</f>
        <v>0</v>
      </c>
      <c r="BM17" s="36"/>
      <c r="BN17" s="39"/>
    </row>
    <row r="18" spans="3:66" ht="13.5" hidden="1" thickBot="1" x14ac:dyDescent="0.3">
      <c r="C18" s="11"/>
      <c r="D18" s="30">
        <f>SUMPRODUCT(LARGE((Input!$D$11:$D$985=1)*Input!$P$11:$P$985,6))</f>
        <v>0</v>
      </c>
      <c r="E18" s="35"/>
      <c r="F18" s="37"/>
      <c r="G18" s="32">
        <f>SUMPRODUCT(LARGE((Input!D$11:D$985=2)*Input!P$11:P$985,6))</f>
        <v>0</v>
      </c>
      <c r="H18" s="36"/>
      <c r="I18" s="37"/>
      <c r="J18" s="32">
        <f>SUMPRODUCT(LARGE((Input!D$11:D$985=3)*Input!P$11:P$985,6))</f>
        <v>0</v>
      </c>
      <c r="K18" s="36"/>
      <c r="L18" s="38"/>
      <c r="M18" s="34">
        <f>SUMPRODUCT(LARGE((Input!D$11:D$985=4)*Input!P$11:P$985,6))</f>
        <v>0</v>
      </c>
      <c r="N18" s="36"/>
      <c r="O18" s="37"/>
      <c r="P18" s="32">
        <f>SUMPRODUCT(LARGE((Input!D$11:D$985=5)*Input!P$11:P$985,6))</f>
        <v>0</v>
      </c>
      <c r="Q18" s="36"/>
      <c r="R18" s="37"/>
      <c r="S18" s="32">
        <f>SUMPRODUCT(LARGE((Input!D$11:D$985=6)*Input!P$11:P$985,6))</f>
        <v>0</v>
      </c>
      <c r="T18" s="36"/>
      <c r="U18" s="37"/>
      <c r="V18" s="32">
        <f>SUMPRODUCT(LARGE((Input!D$11:D$985=7)*Input!P$11:P$985,6))</f>
        <v>0</v>
      </c>
      <c r="W18" s="36"/>
      <c r="X18" s="37"/>
      <c r="Y18" s="32">
        <f>SUMPRODUCT(LARGE((Input!D$11:D$985=8)*Input!P$11:P$985,6))</f>
        <v>0</v>
      </c>
      <c r="Z18" s="36"/>
      <c r="AA18" s="37"/>
      <c r="AB18" s="32">
        <f>SUMPRODUCT(LARGE((Input!D$11:D$985=9)*Input!P$11:P$985,6))</f>
        <v>0</v>
      </c>
      <c r="AC18" s="36"/>
      <c r="AD18" s="37"/>
      <c r="AE18" s="32">
        <f>SUMPRODUCT(LARGE((Input!D$11:D$985=10)*Input!P$11:P$985,6))</f>
        <v>0</v>
      </c>
      <c r="AF18" s="36"/>
      <c r="AG18" s="314"/>
      <c r="AH18" s="30">
        <f>SUMPRODUCT(LARGE((Input!$D$11:$D$985=11)*Input!$P$11:$P$985,6))</f>
        <v>0</v>
      </c>
      <c r="AI18" s="64"/>
      <c r="AJ18" s="64"/>
      <c r="AK18" s="11"/>
      <c r="AL18" s="36"/>
      <c r="AM18" s="37"/>
      <c r="AN18" s="30">
        <f>SUMPRODUCT(LARGE((Input!$D$11:$D$985=12)*Input!$P$11:$P$985,6))</f>
        <v>0</v>
      </c>
      <c r="AO18" s="36"/>
      <c r="AP18" s="37"/>
      <c r="AQ18" s="30">
        <f>SUMPRODUCT(LARGE((Input!$D$11:$D$985=13)*Input!$P$11:$P$985,6))</f>
        <v>0</v>
      </c>
      <c r="AR18" s="36"/>
      <c r="AS18" s="37"/>
      <c r="AT18" s="30">
        <f>SUMPRODUCT(LARGE((Input!$D$11:$D$985=14)*Input!$P$11:$P$985,6))</f>
        <v>0</v>
      </c>
      <c r="AU18" s="36"/>
      <c r="AV18" s="37"/>
      <c r="AW18" s="30">
        <f>SUMPRODUCT(LARGE((Input!$D$11:$D$985=15)*Input!$P$11:$P$985,6))</f>
        <v>0</v>
      </c>
      <c r="AX18" s="36"/>
      <c r="AY18" s="37"/>
      <c r="AZ18" s="30">
        <f>SUMPRODUCT(LARGE((Input!$D$11:$D$985=16)*Input!$P$11:$P$985,6))</f>
        <v>0</v>
      </c>
      <c r="BA18" s="36"/>
      <c r="BB18" s="37"/>
      <c r="BC18" s="30">
        <f>SUMPRODUCT(LARGE((Input!$D$11:$D$985=17)*Input!$P$11:$P$985,6))</f>
        <v>0</v>
      </c>
      <c r="BD18" s="36"/>
      <c r="BE18" s="37"/>
      <c r="BF18" s="30">
        <f>SUMPRODUCT(LARGE((Input!$D$11:$D$985=18)*Input!$P$11:$P$985,6))</f>
        <v>0</v>
      </c>
      <c r="BG18" s="36"/>
      <c r="BH18" s="37"/>
      <c r="BI18" s="30">
        <f>SUMPRODUCT(LARGE((Input!$D$11:$D$985=19)*Input!$P$11:$P$985,6))</f>
        <v>0</v>
      </c>
      <c r="BJ18" s="36"/>
      <c r="BK18" s="37"/>
      <c r="BL18" s="30">
        <f>SUMPRODUCT(LARGE((Input!$D$11:$D$985=20)*Input!$P$11:$P$985,6))</f>
        <v>0</v>
      </c>
      <c r="BM18" s="36"/>
      <c r="BN18" s="39"/>
    </row>
    <row r="19" spans="3:66" ht="13.5" hidden="1" thickBot="1" x14ac:dyDescent="0.3">
      <c r="C19" s="11"/>
      <c r="D19" s="30">
        <f>SUMPRODUCT(LARGE((Input!$D$11:$D$985=1)*Input!$P$11:$P$985,7))</f>
        <v>0</v>
      </c>
      <c r="E19" s="35"/>
      <c r="F19" s="37"/>
      <c r="G19" s="32">
        <f>SUMPRODUCT(LARGE((Input!D$11:D$985=2)*Input!P$11:P$985,7))</f>
        <v>0</v>
      </c>
      <c r="H19" s="36"/>
      <c r="I19" s="37"/>
      <c r="J19" s="32">
        <f>SUMPRODUCT(LARGE((Input!D$11:D$985=3)*Input!P$11:P$985,7))</f>
        <v>0</v>
      </c>
      <c r="K19" s="36"/>
      <c r="L19" s="38"/>
      <c r="M19" s="34">
        <f>SUMPRODUCT(LARGE((Input!D$11:D$985=4)*Input!P$11:P$985,7))</f>
        <v>0</v>
      </c>
      <c r="N19" s="36"/>
      <c r="O19" s="37"/>
      <c r="P19" s="32">
        <f>SUMPRODUCT(LARGE((Input!D$11:D$985=5)*Input!P$11:P$985,7))</f>
        <v>0</v>
      </c>
      <c r="Q19" s="36"/>
      <c r="R19" s="37"/>
      <c r="S19" s="32">
        <f>SUMPRODUCT(LARGE((Input!D$11:D$985=6)*Input!P$11:P$985,7))</f>
        <v>0</v>
      </c>
      <c r="T19" s="36"/>
      <c r="U19" s="37"/>
      <c r="V19" s="32">
        <f>SUMPRODUCT(LARGE((Input!D$11:D$985=7)*Input!P$11:P$985,7))</f>
        <v>0</v>
      </c>
      <c r="W19" s="36"/>
      <c r="X19" s="37"/>
      <c r="Y19" s="32">
        <f>SUMPRODUCT(LARGE((Input!D$11:D$985=8)*Input!P$11:P$985,7))</f>
        <v>0</v>
      </c>
      <c r="Z19" s="36"/>
      <c r="AA19" s="37"/>
      <c r="AB19" s="32">
        <f>SUMPRODUCT(LARGE((Input!D$11:D$985=9)*Input!P$11:P$985,7))</f>
        <v>0</v>
      </c>
      <c r="AC19" s="36"/>
      <c r="AD19" s="37"/>
      <c r="AE19" s="32">
        <f>SUMPRODUCT(LARGE((Input!D$11:D$985=10)*Input!P$11:P$985,7))</f>
        <v>0</v>
      </c>
      <c r="AF19" s="36"/>
      <c r="AG19" s="314"/>
      <c r="AH19" s="30">
        <f>SUMPRODUCT(LARGE((Input!$D$11:$D$985=11)*Input!$P$11:$P$985,7))</f>
        <v>0</v>
      </c>
      <c r="AI19" s="64"/>
      <c r="AJ19" s="64"/>
      <c r="AK19" s="11"/>
      <c r="AL19" s="36"/>
      <c r="AM19" s="37"/>
      <c r="AN19" s="30">
        <f>SUMPRODUCT(LARGE((Input!$D$11:$D$985=12)*Input!$P$11:$P$985,7))</f>
        <v>0</v>
      </c>
      <c r="AO19" s="36"/>
      <c r="AP19" s="37"/>
      <c r="AQ19" s="30">
        <f>SUMPRODUCT(LARGE((Input!$D$11:$D$985=13)*Input!$P$11:$P$985,7))</f>
        <v>0</v>
      </c>
      <c r="AR19" s="36"/>
      <c r="AS19" s="37"/>
      <c r="AT19" s="30">
        <f>SUMPRODUCT(LARGE((Input!$D$11:$D$985=14)*Input!$P$11:$P$985,7))</f>
        <v>0</v>
      </c>
      <c r="AU19" s="36"/>
      <c r="AV19" s="37"/>
      <c r="AW19" s="30">
        <f>SUMPRODUCT(LARGE((Input!$D$11:$D$985=15)*Input!$P$11:$P$985,7))</f>
        <v>0</v>
      </c>
      <c r="AX19" s="36"/>
      <c r="AY19" s="37"/>
      <c r="AZ19" s="30">
        <f>SUMPRODUCT(LARGE((Input!$D$11:$D$985=16)*Input!$P$11:$P$985,7))</f>
        <v>0</v>
      </c>
      <c r="BA19" s="36"/>
      <c r="BB19" s="37"/>
      <c r="BC19" s="30">
        <f>SUMPRODUCT(LARGE((Input!$D$11:$D$985=17)*Input!$P$11:$P$985,7))</f>
        <v>0</v>
      </c>
      <c r="BD19" s="36"/>
      <c r="BE19" s="37"/>
      <c r="BF19" s="30">
        <f>SUMPRODUCT(LARGE((Input!$D$11:$D$985=18)*Input!$P$11:$P$985,7))</f>
        <v>0</v>
      </c>
      <c r="BG19" s="36"/>
      <c r="BH19" s="37"/>
      <c r="BI19" s="30">
        <f>SUMPRODUCT(LARGE((Input!$D$11:$D$985=19)*Input!$P$11:$P$985,7))</f>
        <v>0</v>
      </c>
      <c r="BJ19" s="36"/>
      <c r="BK19" s="37"/>
      <c r="BL19" s="30">
        <f>SUMPRODUCT(LARGE((Input!$D$11:$D$985=20)*Input!$P$11:$P$985,7))</f>
        <v>0</v>
      </c>
      <c r="BM19" s="36"/>
      <c r="BN19" s="39"/>
    </row>
    <row r="20" spans="3:66" ht="13.5" hidden="1" thickBot="1" x14ac:dyDescent="0.3">
      <c r="C20" s="11"/>
      <c r="D20" s="30">
        <f>SUMPRODUCT(LARGE((Input!$D$11:$D$985=1)*Input!$P$11:$P$985,8))</f>
        <v>0</v>
      </c>
      <c r="E20" s="35"/>
      <c r="F20" s="37"/>
      <c r="G20" s="32">
        <f>SUMPRODUCT(LARGE((Input!D$11:D$985=2)*Input!P$11:P$985,8))</f>
        <v>0</v>
      </c>
      <c r="H20" s="36"/>
      <c r="I20" s="37"/>
      <c r="J20" s="32">
        <f>SUMPRODUCT(LARGE((Input!D$11:D$985=3)*Input!P$11:P$985,8))</f>
        <v>0</v>
      </c>
      <c r="K20" s="36"/>
      <c r="L20" s="38"/>
      <c r="M20" s="34">
        <f>SUMPRODUCT(LARGE((Input!D$11:D$985=4)*Input!P$11:P$985,8))</f>
        <v>0</v>
      </c>
      <c r="N20" s="36"/>
      <c r="O20" s="37"/>
      <c r="P20" s="32">
        <f>SUMPRODUCT(LARGE((Input!D$11:D$985=5)*Input!P$11:P$985,8))</f>
        <v>0</v>
      </c>
      <c r="Q20" s="36"/>
      <c r="R20" s="37"/>
      <c r="S20" s="32">
        <f>SUMPRODUCT(LARGE((Input!D$11:D$985=6)*Input!P$11:P$985,8))</f>
        <v>0</v>
      </c>
      <c r="T20" s="36"/>
      <c r="U20" s="37"/>
      <c r="V20" s="32">
        <f>SUMPRODUCT(LARGE((Input!D$11:D$985=7)*Input!P$11:P$985,8))</f>
        <v>0</v>
      </c>
      <c r="W20" s="36"/>
      <c r="X20" s="37"/>
      <c r="Y20" s="32">
        <f>SUMPRODUCT(LARGE((Input!D$11:D$985=8)*Input!P$11:P$985,8))</f>
        <v>0</v>
      </c>
      <c r="Z20" s="36"/>
      <c r="AA20" s="37"/>
      <c r="AB20" s="32">
        <f>SUMPRODUCT(LARGE((Input!D$11:D$985=9)*Input!P$11:P$985,8))</f>
        <v>0</v>
      </c>
      <c r="AC20" s="36"/>
      <c r="AD20" s="37"/>
      <c r="AE20" s="32">
        <f>SUMPRODUCT(LARGE((Input!D$11:D$985=10)*Input!P$11:P$985,8))</f>
        <v>0</v>
      </c>
      <c r="AF20" s="36"/>
      <c r="AG20" s="314"/>
      <c r="AH20" s="30">
        <f>SUMPRODUCT(LARGE((Input!$D$11:$D$985=11)*Input!$P$11:$P$985,8))</f>
        <v>0</v>
      </c>
      <c r="AI20" s="64"/>
      <c r="AJ20" s="64"/>
      <c r="AK20" s="11"/>
      <c r="AL20" s="36"/>
      <c r="AM20" s="37"/>
      <c r="AN20" s="30">
        <f>SUMPRODUCT(LARGE((Input!$D$11:$D$985=12)*Input!$P$11:$P$985,8))</f>
        <v>0</v>
      </c>
      <c r="AO20" s="36"/>
      <c r="AP20" s="37"/>
      <c r="AQ20" s="30">
        <f>SUMPRODUCT(LARGE((Input!$D$11:$D$985=13)*Input!$P$11:$P$985,8))</f>
        <v>0</v>
      </c>
      <c r="AR20" s="36"/>
      <c r="AS20" s="37"/>
      <c r="AT20" s="30">
        <f>SUMPRODUCT(LARGE((Input!$D$11:$D$985=14)*Input!$P$11:$P$985,8))</f>
        <v>0</v>
      </c>
      <c r="AU20" s="36"/>
      <c r="AV20" s="37"/>
      <c r="AW20" s="30">
        <f>SUMPRODUCT(LARGE((Input!$D$11:$D$985=15)*Input!$P$11:$P$985,8))</f>
        <v>0</v>
      </c>
      <c r="AX20" s="36"/>
      <c r="AY20" s="37"/>
      <c r="AZ20" s="30">
        <f>SUMPRODUCT(LARGE((Input!$D$11:$D$985=16)*Input!$P$11:$P$985,8))</f>
        <v>0</v>
      </c>
      <c r="BA20" s="36"/>
      <c r="BB20" s="37"/>
      <c r="BC20" s="30">
        <f>SUMPRODUCT(LARGE((Input!$D$11:$D$985=17)*Input!$P$11:$P$985,8))</f>
        <v>0</v>
      </c>
      <c r="BD20" s="36"/>
      <c r="BE20" s="37"/>
      <c r="BF20" s="30">
        <f>SUMPRODUCT(LARGE((Input!$D$11:$D$985=18)*Input!$P$11:$P$985,8))</f>
        <v>0</v>
      </c>
      <c r="BG20" s="36"/>
      <c r="BH20" s="37"/>
      <c r="BI20" s="30">
        <f>SUMPRODUCT(LARGE((Input!$D$11:$D$985=19)*Input!$P$11:$P$985,8))</f>
        <v>0</v>
      </c>
      <c r="BJ20" s="36"/>
      <c r="BK20" s="37"/>
      <c r="BL20" s="30">
        <f>SUMPRODUCT(LARGE((Input!$D$11:$D$985=20)*Input!$P$11:$P$985,8))</f>
        <v>0</v>
      </c>
      <c r="BM20" s="36"/>
      <c r="BN20" s="39"/>
    </row>
    <row r="21" spans="3:66" ht="13.5" hidden="1" thickBot="1" x14ac:dyDescent="0.3">
      <c r="C21" s="11"/>
      <c r="D21" s="30">
        <f>SUMPRODUCT(LARGE((Input!$D$11:$D$985=1)*Input!$P$11:$P$985,9))</f>
        <v>0</v>
      </c>
      <c r="E21" s="35"/>
      <c r="F21" s="37"/>
      <c r="G21" s="32">
        <f>SUMPRODUCT(LARGE((Input!D$11:D$985=2)*Input!P$11:P$985,9))</f>
        <v>0</v>
      </c>
      <c r="H21" s="36"/>
      <c r="I21" s="37"/>
      <c r="J21" s="32">
        <f>SUMPRODUCT(LARGE((Input!D$11:D$985=3)*Input!P$11:P$985,9))</f>
        <v>0</v>
      </c>
      <c r="K21" s="36"/>
      <c r="L21" s="38"/>
      <c r="M21" s="34">
        <f>SUMPRODUCT(LARGE((Input!D$11:D$985=4)*Input!P$11:P$985,9))</f>
        <v>0</v>
      </c>
      <c r="N21" s="36"/>
      <c r="O21" s="37"/>
      <c r="P21" s="32">
        <f>SUMPRODUCT(LARGE((Input!D$11:D$985=5)*Input!P$11:P$985,9))</f>
        <v>0</v>
      </c>
      <c r="Q21" s="36"/>
      <c r="R21" s="37"/>
      <c r="S21" s="32">
        <f>SUMPRODUCT(LARGE((Input!D$11:D$985=6)*Input!P$11:P$985,9))</f>
        <v>0</v>
      </c>
      <c r="T21" s="36"/>
      <c r="U21" s="37"/>
      <c r="V21" s="32">
        <f>SUMPRODUCT(LARGE((Input!D$11:D$985=7)*Input!P$11:P$985,9))</f>
        <v>0</v>
      </c>
      <c r="W21" s="36"/>
      <c r="X21" s="37"/>
      <c r="Y21" s="32">
        <f>SUMPRODUCT(LARGE((Input!D$11:D$985=8)*Input!P$11:P$985,9))</f>
        <v>0</v>
      </c>
      <c r="Z21" s="36"/>
      <c r="AA21" s="37"/>
      <c r="AB21" s="32">
        <f>SUMPRODUCT(LARGE((Input!D$11:D$985=9)*Input!P$11:P$985,9))</f>
        <v>0</v>
      </c>
      <c r="AC21" s="36"/>
      <c r="AD21" s="37"/>
      <c r="AE21" s="32">
        <f>SUMPRODUCT(LARGE((Input!D$11:D$985=10)*Input!P$11:P$985,9))</f>
        <v>0</v>
      </c>
      <c r="AF21" s="36"/>
      <c r="AG21" s="314"/>
      <c r="AH21" s="30">
        <f>SUMPRODUCT(LARGE((Input!$D$11:$D$985=11)*Input!$P$11:$P$985,9))</f>
        <v>0</v>
      </c>
      <c r="AI21" s="64"/>
      <c r="AJ21" s="64"/>
      <c r="AK21" s="11"/>
      <c r="AL21" s="36"/>
      <c r="AM21" s="37"/>
      <c r="AN21" s="30">
        <f>SUMPRODUCT(LARGE((Input!$D$11:$D$985=12)*Input!$P$11:$P$985,9))</f>
        <v>0</v>
      </c>
      <c r="AO21" s="36"/>
      <c r="AP21" s="37"/>
      <c r="AQ21" s="30">
        <f>SUMPRODUCT(LARGE((Input!$D$11:$D$985=13)*Input!$P$11:$P$985,9))</f>
        <v>0</v>
      </c>
      <c r="AR21" s="36"/>
      <c r="AS21" s="37"/>
      <c r="AT21" s="30">
        <f>SUMPRODUCT(LARGE((Input!$D$11:$D$985=14)*Input!$P$11:$P$985,9))</f>
        <v>0</v>
      </c>
      <c r="AU21" s="36"/>
      <c r="AV21" s="37"/>
      <c r="AW21" s="30">
        <f>SUMPRODUCT(LARGE((Input!$D$11:$D$985=15)*Input!$P$11:$P$985,9))</f>
        <v>0</v>
      </c>
      <c r="AX21" s="36"/>
      <c r="AY21" s="37"/>
      <c r="AZ21" s="30">
        <f>SUMPRODUCT(LARGE((Input!$D$11:$D$985=16)*Input!$P$11:$P$985,9))</f>
        <v>0</v>
      </c>
      <c r="BA21" s="36"/>
      <c r="BB21" s="37"/>
      <c r="BC21" s="30">
        <f>SUMPRODUCT(LARGE((Input!$D$11:$D$985=17)*Input!$P$11:$P$985,9))</f>
        <v>0</v>
      </c>
      <c r="BD21" s="36"/>
      <c r="BE21" s="37"/>
      <c r="BF21" s="30">
        <f>SUMPRODUCT(LARGE((Input!$D$11:$D$985=18)*Input!$P$11:$P$985,9))</f>
        <v>0</v>
      </c>
      <c r="BG21" s="36"/>
      <c r="BH21" s="37"/>
      <c r="BI21" s="30">
        <f>SUMPRODUCT(LARGE((Input!$D$11:$D$985=19)*Input!$P$11:$P$985,9))</f>
        <v>0</v>
      </c>
      <c r="BJ21" s="36"/>
      <c r="BK21" s="37"/>
      <c r="BL21" s="30">
        <f>SUMPRODUCT(LARGE((Input!$D$11:$D$985=20)*Input!$P$11:$P$985,9))</f>
        <v>0</v>
      </c>
      <c r="BM21" s="36"/>
      <c r="BN21" s="39"/>
    </row>
    <row r="22" spans="3:66" ht="13.5" hidden="1" thickBot="1" x14ac:dyDescent="0.3">
      <c r="C22" s="11"/>
      <c r="D22" s="30">
        <f>SUMPRODUCT(LARGE((Input!$D$11:$D$985=1)*Input!$P$11:$P$985,10))</f>
        <v>0</v>
      </c>
      <c r="E22" s="35"/>
      <c r="F22" s="37"/>
      <c r="G22" s="32">
        <f>SUMPRODUCT(LARGE((Input!D$11:D$985=2)*Input!P$11:P$985,10))</f>
        <v>0</v>
      </c>
      <c r="H22" s="36"/>
      <c r="I22" s="37"/>
      <c r="J22" s="32">
        <f>SUMPRODUCT(LARGE((Input!D$11:D$985=3)*Input!P$11:P$985,10))</f>
        <v>0</v>
      </c>
      <c r="K22" s="36"/>
      <c r="L22" s="38"/>
      <c r="M22" s="34">
        <f>SUMPRODUCT(LARGE((Input!D$11:D$985=4)*Input!P$11:P$985,10))</f>
        <v>0</v>
      </c>
      <c r="N22" s="36"/>
      <c r="O22" s="37"/>
      <c r="P22" s="32">
        <f>SUMPRODUCT(LARGE((Input!D$11:D$985=5)*Input!P$11:P$985,10))</f>
        <v>0</v>
      </c>
      <c r="Q22" s="36"/>
      <c r="R22" s="37"/>
      <c r="S22" s="32">
        <f>SUMPRODUCT(LARGE((Input!D$11:D$985=6)*Input!P$11:P$985,10))</f>
        <v>0</v>
      </c>
      <c r="T22" s="36"/>
      <c r="U22" s="37"/>
      <c r="V22" s="32">
        <f>SUMPRODUCT(LARGE((Input!D$11:D$985=7)*Input!P$11:P$985,10))</f>
        <v>0</v>
      </c>
      <c r="W22" s="36"/>
      <c r="X22" s="37"/>
      <c r="Y22" s="32">
        <f>SUMPRODUCT(LARGE((Input!D$11:D$985=8)*Input!P$11:P$985,10))</f>
        <v>0</v>
      </c>
      <c r="Z22" s="36"/>
      <c r="AA22" s="37"/>
      <c r="AB22" s="32">
        <f>SUMPRODUCT(LARGE((Input!D$11:D$985=9)*Input!P$11:P$985,10))</f>
        <v>0</v>
      </c>
      <c r="AC22" s="36"/>
      <c r="AD22" s="37"/>
      <c r="AE22" s="32">
        <f>SUMPRODUCT(LARGE((Input!D$11:D$985=10)*Input!P$11:P$985,10))</f>
        <v>0</v>
      </c>
      <c r="AF22" s="36"/>
      <c r="AG22" s="314"/>
      <c r="AH22" s="30">
        <f>SUMPRODUCT(LARGE((Input!$D$11:$D$985=11)*Input!$P$11:$P$985,10))</f>
        <v>0</v>
      </c>
      <c r="AI22" s="64"/>
      <c r="AJ22" s="64"/>
      <c r="AK22" s="11"/>
      <c r="AL22" s="36"/>
      <c r="AM22" s="37"/>
      <c r="AN22" s="30">
        <f>SUMPRODUCT(LARGE((Input!$D$11:$D$985=12)*Input!$P$11:$P$985,10))</f>
        <v>0</v>
      </c>
      <c r="AO22" s="36"/>
      <c r="AP22" s="37"/>
      <c r="AQ22" s="30">
        <f>SUMPRODUCT(LARGE((Input!$D$11:$D$985=13)*Input!$P$11:$P$985,10))</f>
        <v>0</v>
      </c>
      <c r="AR22" s="36"/>
      <c r="AS22" s="37"/>
      <c r="AT22" s="30">
        <f>SUMPRODUCT(LARGE((Input!$D$11:$D$985=14)*Input!$P$11:$P$985,10))</f>
        <v>0</v>
      </c>
      <c r="AU22" s="36"/>
      <c r="AV22" s="37"/>
      <c r="AW22" s="30">
        <f>SUMPRODUCT(LARGE((Input!$D$11:$D$985=15)*Input!$P$11:$P$985,10))</f>
        <v>0</v>
      </c>
      <c r="AX22" s="36"/>
      <c r="AY22" s="37"/>
      <c r="AZ22" s="30">
        <f>SUMPRODUCT(LARGE((Input!$D$11:$D$985=16)*Input!$P$11:$P$985,10))</f>
        <v>0</v>
      </c>
      <c r="BA22" s="36"/>
      <c r="BB22" s="37"/>
      <c r="BC22" s="30">
        <f>SUMPRODUCT(LARGE((Input!$D$11:$D$985=17)*Input!$P$11:$P$985,10))</f>
        <v>0</v>
      </c>
      <c r="BD22" s="36"/>
      <c r="BE22" s="37"/>
      <c r="BF22" s="30">
        <f>SUMPRODUCT(LARGE((Input!$D$11:$D$985=18)*Input!$P$11:$P$985,10))</f>
        <v>0</v>
      </c>
      <c r="BG22" s="36"/>
      <c r="BH22" s="37"/>
      <c r="BI22" s="30">
        <f>SUMPRODUCT(LARGE((Input!$D$11:$D$985=19)*Input!$P$11:$P$985,10))</f>
        <v>0</v>
      </c>
      <c r="BJ22" s="36"/>
      <c r="BK22" s="37"/>
      <c r="BL22" s="30">
        <f>SUMPRODUCT(LARGE((Input!$D$11:$D$985=20)*Input!$P$11:$P$985,10))</f>
        <v>0</v>
      </c>
      <c r="BM22" s="36"/>
      <c r="BN22" s="39"/>
    </row>
    <row r="23" spans="3:66" ht="16" customHeight="1" thickBot="1" x14ac:dyDescent="0.3">
      <c r="C23" s="644" t="s">
        <v>36</v>
      </c>
      <c r="D23" s="45"/>
      <c r="E23" s="35" t="str">
        <f>IF(E24&gt;0,RANK(E24,($E24,$H24,$K24,$N24,$Q24,$T24,$W24,$Z24,$AC24,$AF24,$AL24,$AO24,$AR24,$AU24,$AX24,$BA24,$BD24,$BG24,$BJ24,$BM24),0)," ")</f>
        <v xml:space="preserve"> </v>
      </c>
      <c r="F23" s="671" t="str">
        <f>IF(E23&gt;0,IF(ISERROR(($C$1*2)-((E23-1)*2))," ",(($C$1*2)-((E23-1)*2))))</f>
        <v xml:space="preserve"> </v>
      </c>
      <c r="G23" s="58"/>
      <c r="H23" s="36" t="str">
        <f>IF(H24&gt;0,RANK(H24,($E24,$H24,$K24,$N24,$Q24,$T24,$W24,$Z24,$AC24,$AF24,$AL24,$AO24,$AR24,$AU24,$AX24,$BA24,$BD24,$BG24,$BJ24,$BM24),0)," ")</f>
        <v xml:space="preserve"> </v>
      </c>
      <c r="I23" s="671" t="str">
        <f>IF(H23&gt;0,IF(ISERROR(($C$1*2)-((H23-1)*2))," ",(($C$1*2)-((H23-1)*2))))</f>
        <v xml:space="preserve"> </v>
      </c>
      <c r="J23" s="58"/>
      <c r="K23" s="36" t="str">
        <f>IF(K24&gt;0,RANK(K24,($E24,$H24,$K24,$N24,$Q24,$T24,$W24,$Z24,$AC24,$AF24,$AL24,$AO24,$AR24,$AU24,$AX24,$BA24,$BD24,$BG24,$BJ24,$BM24),0)," ")</f>
        <v xml:space="preserve"> </v>
      </c>
      <c r="L23" s="672" t="str">
        <f>IF(K23&gt;0,IF(ISERROR(($C$1*2)-((K23-1)*2))," ",(($C$1*2)-((K23-1)*2))))</f>
        <v xml:space="preserve"> </v>
      </c>
      <c r="M23" s="59"/>
      <c r="N23" s="36" t="str">
        <f>IF(N24&gt;0,RANK(N24,($E24,$H24,$K24,$N24,$Q24,$T24,$W24,$Z24,$AC24,$AF24,$AL24,$AO24,$AR24,$AU24,$AX24,$BA24,$BD24,$BG24,$BJ24,$BM24),0)," ")</f>
        <v xml:space="preserve"> </v>
      </c>
      <c r="O23" s="671" t="str">
        <f>IF(N23&gt;0,IF(ISERROR(($C$1*2)-((N23-1)*2))," ",(($C$1*2)-((N23-1)*2))))</f>
        <v xml:space="preserve"> </v>
      </c>
      <c r="P23" s="58"/>
      <c r="Q23" s="36" t="str">
        <f>IF(Q24&gt;0,RANK(Q24,($E24,$H24,$K24,$N24,$Q24,$T24,$W24,$Z24,$AC24,$AF24,$AL24,$AO24,$AR24,$AU24,$AX24,$BA24,$BD24,$BG24,$BJ24,$BM24),0)," ")</f>
        <v xml:space="preserve"> </v>
      </c>
      <c r="R23" s="671" t="str">
        <f>IF(Q23&gt;0,IF(ISERROR(($C$1*2)-((Q23-1)*2))," ",(($C$1*2)-((Q23-1)*2))))</f>
        <v xml:space="preserve"> </v>
      </c>
      <c r="S23" s="58"/>
      <c r="T23" s="36" t="str">
        <f>IF(T24&gt;0,RANK(T24,($E24,$H24,$K24,$N24,$Q24,$T24,$W24,$Z24,$AC24,$AF24,$AL24,$AO24,$AR24,$AU24,$AX24,$BA24,$BD24,$BG24,$BJ24,$BM24),0)," ")</f>
        <v xml:space="preserve"> </v>
      </c>
      <c r="U23" s="671" t="str">
        <f>IF(T23&gt;0,IF(ISERROR(($C$1*2)-((T23-1)*2))," ",(($C$1*2)-((T23-1)*2))))</f>
        <v xml:space="preserve"> </v>
      </c>
      <c r="V23" s="58"/>
      <c r="W23" s="36" t="str">
        <f>IF(W24&gt;0,RANK(W24,($E24,$H24,$K24,$N24,$Q24,$T24,$W24,$Z24,$AC24,$AF24,$AL24,$AO24,$AR24,$AU24,$AX24,$BA24,$BD24,$BG24,$BJ24,$BM24),0)," ")</f>
        <v xml:space="preserve"> </v>
      </c>
      <c r="X23" s="671" t="str">
        <f>IF(W23&gt;0,IF(ISERROR(($C$1*2)-((W23-1)*2))," ",(($C$1*2)-((W23-1)*2))))</f>
        <v xml:space="preserve"> </v>
      </c>
      <c r="Y23" s="58"/>
      <c r="Z23" s="36" t="str">
        <f>IF(Z24&gt;0,RANK(Z24,($E24,$H24,$K24,$N24,$Q24,$T24,$W24,$Z24,$AC24,$AF24,$AL24,$AO24,$AR24,$AU24,$AX24,$BA24,$BD24,$BG24,$BJ24,$BM24),0)," ")</f>
        <v xml:space="preserve"> </v>
      </c>
      <c r="AA23" s="671" t="str">
        <f>IF(Z23&gt;0,IF(ISERROR(($C$1*2)-((Z23-1)*2))," ",(($C$1*2)-((Z23-1)*2))))</f>
        <v xml:space="preserve"> </v>
      </c>
      <c r="AB23" s="58"/>
      <c r="AC23" s="36" t="str">
        <f>IF(AC24&gt;0,RANK(AC24,($E24,$H24,$K24,$N24,$Q24,$T24,$W24,$Z24,$AC24,$AF24,$AL24,$AO24,$AR24,$AU24,$AX24,$BA24,$BD24,$BG24,$BJ24,$BM24),0)," ")</f>
        <v xml:space="preserve"> </v>
      </c>
      <c r="AD23" s="671" t="str">
        <f>IF(AC23&gt;0,IF(ISERROR(($C$1*2)-((AC23-1)*2))," ",(($C$1*2)-((AC23-1)*2))))</f>
        <v xml:space="preserve"> </v>
      </c>
      <c r="AE23" s="58"/>
      <c r="AF23" s="36" t="str">
        <f>IF(AF24&gt;0,RANK(AF24,($E24,$H24,$K24,$N24,$Q24,$T24,$W24,$Z24,$AC24,$AF24,$AL24,$AO24,$AR24,$AU24,$AX24,$BA24,$BD24,$BG24,$BJ24,$BM24),0)," ")</f>
        <v xml:space="preserve"> </v>
      </c>
      <c r="AG23" s="670" t="str">
        <f>IF(AF23&gt;0,IF(ISERROR(($C$1*2)-((AF23-1)*2))," ",(($C$1*2)-((AF23-1)*2))))</f>
        <v xml:space="preserve"> </v>
      </c>
      <c r="AH23" s="59"/>
      <c r="AI23" s="347"/>
      <c r="AJ23" s="347"/>
      <c r="AK23" s="644" t="s">
        <v>36</v>
      </c>
      <c r="AL23" s="36" t="str">
        <f>IF(AL24&gt;0,RANK(AL24,($E24,$H24,$K24,$N24,$Q24,$T24,$W24,$Z24,$AC24,$AF24,$AL24,$AO24,$AR24,$AU24,$AX24,$BA24,$BD24,$BG24,$BJ24,$BM24),0)," ")</f>
        <v xml:space="preserve"> </v>
      </c>
      <c r="AM23" s="671" t="str">
        <f>IF(AL23&gt;0,IF(ISERROR(($C$1*2)-((AL23-1)*2))," ",(($C$1*2)-((AL23-1)*2))))</f>
        <v xml:space="preserve"> </v>
      </c>
      <c r="AN23" s="59"/>
      <c r="AO23" s="36" t="str">
        <f>IF(AO24&gt;0,RANK(AO24,($E24,$H24,$K24,$N24,$Q24,$T24,$W24,$Z24,$AC24,$AF24,$AL24,$AO24,$AR24,$AU24,$AX24,$BA24,$BD24,$BG24,$BJ24,$BM24),0)," ")</f>
        <v xml:space="preserve"> </v>
      </c>
      <c r="AP23" s="671" t="str">
        <f>IF(AO23&gt;0,IF(ISERROR(($C$1*2)-((AO23-1)*2))," ",(($C$1*2)-((AO23-1)*2))))</f>
        <v xml:space="preserve"> </v>
      </c>
      <c r="AQ23" s="59"/>
      <c r="AR23" s="36" t="str">
        <f>IF(AR24&gt;0,RANK(AR24,($E24,$H24,$K24,$N24,$Q24,$T24,$W24,$Z24,$AC24,$AF24,$AL24,$AO24,$AR24,$AU24,$AX24,$BA24,$BD24,$BG24,$BJ24,$BM24),0)," ")</f>
        <v xml:space="preserve"> </v>
      </c>
      <c r="AS23" s="671" t="str">
        <f>IF(AR23&gt;0,IF(ISERROR(($C$1*2)-((AR23-1)*2))," ",(($C$1*2)-((AR23-1)*2))))</f>
        <v xml:space="preserve"> </v>
      </c>
      <c r="AT23" s="59"/>
      <c r="AU23" s="36" t="str">
        <f>IF(AU24&gt;0,RANK(AU24,($E24,$H24,$K24,$N24,$Q24,$T24,$W24,$Z24,$AC24,$AF24,$AL24,$AO24,$AR24,$AU24,$AX24,$BA24,$BD24,$BG24,$BJ24,$BM24),0)," ")</f>
        <v xml:space="preserve"> </v>
      </c>
      <c r="AV23" s="671" t="str">
        <f>IF(AU23&gt;0,IF(ISERROR(($C$1*2)-((AU23-1)*2))," ",(($C$1*2)-((AU23-1)*2))))</f>
        <v xml:space="preserve"> </v>
      </c>
      <c r="AW23" s="59"/>
      <c r="AX23" s="36" t="str">
        <f>IF(AX24&gt;0,RANK(AX24,($E24,$H24,$K24,$N24,$Q24,$T24,$W24,$Z24,$AC24,$AF24,$AL24,$AO24,$AR24,$AU24,$AX24,$BA24,$BD24,$BG24,$BJ24,$BM24),0)," ")</f>
        <v xml:space="preserve"> </v>
      </c>
      <c r="AY23" s="671" t="str">
        <f>IF(AX23&gt;0,IF(ISERROR(($C$1*2)-((AX23-1)*2))," ",(($C$1*2)-((AX23-1)*2))))</f>
        <v xml:space="preserve"> </v>
      </c>
      <c r="AZ23" s="59"/>
      <c r="BA23" s="36" t="str">
        <f>IF(BA24&gt;0,RANK(BA24,($E24,$H24,$K24,$N24,$Q24,$T24,$W24,$Z24,$AC24,$AF24,$AL24,$AO24,$AR24,$AU24,$AX24,$BA24,$BD24,$BG24,$BJ24,$BM24),0)," ")</f>
        <v xml:space="preserve"> </v>
      </c>
      <c r="BB23" s="671" t="str">
        <f>IF(BA23&gt;0,IF(ISERROR(($C$1*2)-((BA23-1)*2))," ",(($C$1*2)-((BA23-1)*2))))</f>
        <v xml:space="preserve"> </v>
      </c>
      <c r="BC23" s="59"/>
      <c r="BD23" s="36" t="str">
        <f>IF(BD24&gt;0,RANK(BD24,($E24,$H24,$K24,$N24,$Q24,$T24,$W24,$Z24,$AC24,$AF24,$AL24,$AO24,$AR24,$AU24,$AX24,$BA24,$BD24,$BG24,$BJ24,$BM24),0)," ")</f>
        <v xml:space="preserve"> </v>
      </c>
      <c r="BE23" s="671" t="str">
        <f>IF(BD23&gt;0,IF(ISERROR(($C$1*2)-((BD23-1)*2))," ",(($C$1*2)-((BD23-1)*2))))</f>
        <v xml:space="preserve"> </v>
      </c>
      <c r="BF23" s="59"/>
      <c r="BG23" s="36" t="str">
        <f>IF(BG24&gt;0,RANK(BG24,($E24,$H24,$K24,$N24,$Q24,$T24,$W24,$Z24,$AC24,$AF24,$AL24,$AO24,$AR24,$AU24,$AX24,$BA24,$BD24,$BG24,$BJ24,$BM24),0)," ")</f>
        <v xml:space="preserve"> </v>
      </c>
      <c r="BH23" s="671" t="str">
        <f>IF(BG23&gt;0,IF(ISERROR(($C$1*2)-((BG23-1)*2))," ",(($C$1*2)-((BG23-1)*2))))</f>
        <v xml:space="preserve"> </v>
      </c>
      <c r="BI23" s="59"/>
      <c r="BJ23" s="36" t="str">
        <f>IF(BJ24&gt;0,RANK(BJ24,($E24,$H24,$K24,$N24,$Q24,$T24,$W24,$Z24,$AC24,$AF24,$AL24,$AO24,$AR24,$AU24,$AX24,$BA24,$BD24,$BG24,$BJ24,$BM24),0)," ")</f>
        <v xml:space="preserve"> </v>
      </c>
      <c r="BK23" s="671" t="str">
        <f>IF(BJ23&gt;0,IF(ISERROR(($C$1*2)-((BJ23-1)*2))," ",(($C$1*2)-((BJ23-1)*2))))</f>
        <v xml:space="preserve"> </v>
      </c>
      <c r="BL23" s="59"/>
      <c r="BM23" s="36" t="str">
        <f>IF(BM24&gt;0,RANK(BM24,($E24,$H24,$K24,$N24,$Q24,$T24,$W24,$Z24,$AC24,$AF24,$AL24,$AO24,$AR24,$AU24,$AX24,$BA24,$BD24,$BG24,$BJ24,$BM24),0)," ")</f>
        <v xml:space="preserve"> </v>
      </c>
      <c r="BN23" s="670" t="str">
        <f>IF(BM23&gt;0,IF(ISERROR(($C$1*2)-((BM23-1)*2))," ",(($C$1*2)-((BM23-1)*2))))</f>
        <v xml:space="preserve"> </v>
      </c>
    </row>
    <row r="24" spans="3:66" ht="16" customHeight="1" thickBot="1" x14ac:dyDescent="0.3">
      <c r="C24" s="644"/>
      <c r="D24" s="50">
        <f>SUMPRODUCT(LARGE((Input!D$11:D$985=1)*Input!Q$11:Q$985,1))</f>
        <v>0</v>
      </c>
      <c r="E24" s="35">
        <f>IF($A$1=4,SUM(D24:D27),IF($A$1=5,SUM(D24:D28),IF($A$1=6,SUM(D24:D29),IF($A$1=7,SUM(D24:D30),IF($A$1=8,SUM(D24:D31),IF($A$1=9,SUM(D24:D32),IF($A$1=10,SUM(D24:D33))))))))</f>
        <v>0</v>
      </c>
      <c r="F24" s="671"/>
      <c r="G24" s="60">
        <f>SUMPRODUCT(LARGE((Input!D$11:D$985=2)*Input!Q$11:Q$985,1))</f>
        <v>0</v>
      </c>
      <c r="H24" s="36">
        <f>IF($A$1=4,SUM(G24:G27),IF($A$1=5,SUM(G24:G28),IF($A$1=6,SUM(G24:G29),IF($A$1=7,SUM(G24:G30),IF($A$1=8,SUM(G24:G31),IF($A$1=9,SUM(G24:G32),IF($A$1=10,SUM(G24:G33))))))))</f>
        <v>0</v>
      </c>
      <c r="I24" s="671"/>
      <c r="J24" s="60">
        <f>SUMPRODUCT(LARGE((Input!D$11:D$985=3)*Input!Q$11:Q$985,1))</f>
        <v>0</v>
      </c>
      <c r="K24" s="36">
        <f>IF($A$1=4,SUM(J24:J27),IF($A$1=5,SUM(J24:J28),IF($A$1=6,SUM(J24:J29),IF($A$1=7,SUM(J24:J30),IF($A$1=8,SUM(J24:J31),IF($A$1=9,SUM(J24:J32),IF($A$1=10,SUM(J24:J33))))))))</f>
        <v>0</v>
      </c>
      <c r="L24" s="672"/>
      <c r="M24" s="61">
        <f>SUMPRODUCT(LARGE((Input!D$11:D$985=4)*Input!Q$11:Q$985,1))</f>
        <v>0</v>
      </c>
      <c r="N24" s="36">
        <f>IF($A$1=4,SUM(M24:M27),IF($A$1=5,SUM(M24:M28),IF($A$1=6,SUM(M24:M29),IF($A$1=7,SUM(M24:M30),IF($A$1=8,SUM(M24:M31),IF($A$1=9,SUM(M24:M32),IF($A$1=10,SUM(M24:M33))))))))</f>
        <v>0</v>
      </c>
      <c r="O24" s="671"/>
      <c r="P24" s="60">
        <f>SUMPRODUCT(LARGE((Input!D$11:D$985=5)*Input!Q$11:Q$985,1))</f>
        <v>0</v>
      </c>
      <c r="Q24" s="36">
        <f>IF($A$1=4,SUM(P24:P27),IF($A$1=5,SUM(P24:P28),IF($A$1=6,SUM(P24:P29),IF($A$1=7,SUM(P24:P30),IF($A$1=8,SUM(P24:P31),IF($A$1=9,SUM(P24:P32),IF($A$1=10,SUM(P24:P33))))))))</f>
        <v>0</v>
      </c>
      <c r="R24" s="671"/>
      <c r="S24" s="60">
        <f>SUMPRODUCT(LARGE((Input!D$11:D$985=6)*Input!Q$11:Q$985,1))</f>
        <v>0</v>
      </c>
      <c r="T24" s="36">
        <f>IF($A$1=4,SUM(S24:S27),IF($A$1=5,SUM(S24:S28),IF($A$1=6,SUM(S24:S29),IF($A$1=7,SUM(S24:S30),IF($A$1=8,SUM(S24:S31),IF($A$1=9,SUM(S24:S32),IF($A$1=10,SUM(S24:S33))))))))</f>
        <v>0</v>
      </c>
      <c r="U24" s="671"/>
      <c r="V24" s="60">
        <f>SUMPRODUCT(LARGE((Input!D$11:D$985=7)*Input!Q$11:Q$985,1))</f>
        <v>0</v>
      </c>
      <c r="W24" s="36">
        <f>IF($A$1=4,SUM(V24:V27),IF($A$1=5,SUM(V24:V28),IF($A$1=6,SUM(V24:V29),IF($A$1=7,SUM(V24:V30),IF($A$1=8,SUM(V24:V31),IF($A$1=9,SUM(V24:V32),IF($A$1=10,SUM(V24:V33))))))))</f>
        <v>0</v>
      </c>
      <c r="X24" s="671"/>
      <c r="Y24" s="60">
        <f>SUMPRODUCT(LARGE((Input!D$11:D$985=8)*Input!Q$11:Q$985,1))</f>
        <v>0</v>
      </c>
      <c r="Z24" s="36">
        <f>IF($A$1=4,SUM(Y24:Y27),IF($A$1=5,SUM(Y24:Y28),IF($A$1=6,SUM(Y24:Y29),IF($A$1=7,SUM(Y24:Y30),IF($A$1=8,SUM(Y24:Y31),IF($A$1=9,SUM(Y24:Y32),IF($A$1=10,SUM(Y24:Y33))))))))</f>
        <v>0</v>
      </c>
      <c r="AA24" s="671"/>
      <c r="AB24" s="60">
        <f>SUMPRODUCT(LARGE((Input!D$11:D$985=9)*Input!Q$11:Q$985,1))</f>
        <v>0</v>
      </c>
      <c r="AC24" s="36">
        <f>IF($A$1=4,SUM(AB24:AB27),IF($A$1=5,SUM(AB24:AB28),IF($A$1=6,SUM(AB24:AB29),IF($A$1=7,SUM(AB24:AB30),IF($A$1=8,SUM(AB24:AB31),IF($A$1=9,SUM(AB24:AB32),IF($A$1=10,SUM(AB24:AB33))))))))</f>
        <v>0</v>
      </c>
      <c r="AD24" s="671"/>
      <c r="AE24" s="60">
        <f>SUMPRODUCT(LARGE((Input!$D$11:$D$985=10)*Input!$Q$11:$Q$985,1))</f>
        <v>0</v>
      </c>
      <c r="AF24" s="36">
        <f>IF($A$1=4,SUM(AE24:AE27),IF($A$1=5,SUM(AE24:AE28),IF($A$1=6,SUM(AE24:AE29),IF($A$1=7,SUM(AE24:AE30),IF($A$1=8,SUM(AE24:AE31),IF($A$1=9,SUM(AE24:AE32),IF($A$1=10,SUM(AE24:AE33))))))))</f>
        <v>0</v>
      </c>
      <c r="AG24" s="670"/>
      <c r="AH24" s="61">
        <f>SUMPRODUCT(LARGE((Input!$D$11:$D$985=11)*Input!$Q$11:$Q$985,1))</f>
        <v>0</v>
      </c>
      <c r="AI24" s="347"/>
      <c r="AJ24" s="347"/>
      <c r="AK24" s="644"/>
      <c r="AL24" s="36">
        <f>IF($A$1=4,SUM(AH24:AH27),IF($A$1=5,SUM(AH24:AH28),IF($A$1=6,SUM(AH24:AH29),IF($A$1=7,SUM(AH24:AH30),IF($A$1=8,SUM(AH24:AH31),IF($A$1=9,SUM(AH24:AH32),IF($A$1=10,SUM(AH24:AH33))))))))</f>
        <v>0</v>
      </c>
      <c r="AM24" s="671"/>
      <c r="AN24" s="61">
        <f>SUMPRODUCT(LARGE((Input!$D$11:$D$985=12)*Input!$Q$11:$Q$985,1))</f>
        <v>0</v>
      </c>
      <c r="AO24" s="36">
        <f>IF($A$1=4,SUM(AN24:AN27),IF($A$1=5,SUM(AN24:AN28),IF($A$1=6,SUM(AN24:AN29),IF($A$1=7,SUM(AN24:AN30),IF($A$1=8,SUM(AN24:AN31),IF($A$1=9,SUM(AN24:AN32),IF($A$1=10,SUM(AN24:AN33))))))))</f>
        <v>0</v>
      </c>
      <c r="AP24" s="671"/>
      <c r="AQ24" s="61">
        <f>SUMPRODUCT(LARGE((Input!$D$11:$D$985=13)*Input!$Q$11:$Q$985,1))</f>
        <v>0</v>
      </c>
      <c r="AR24" s="36">
        <f>IF($A$1=4,SUM(AQ24:AQ27),IF($A$1=5,SUM(AQ24:AQ28),IF($A$1=6,SUM(AQ24:AQ29),IF($A$1=7,SUM(AQ24:AQ30),IF($A$1=8,SUM(AQ24:AQ31),IF($A$1=9,SUM(AQ24:AQ32),IF($A$1=10,SUM(AQ24:AQ33))))))))</f>
        <v>0</v>
      </c>
      <c r="AS24" s="671"/>
      <c r="AT24" s="61">
        <f>SUMPRODUCT(LARGE((Input!$D$11:$D$985=14)*Input!$Q$11:$Q$985,1))</f>
        <v>0</v>
      </c>
      <c r="AU24" s="36">
        <f>IF($A$1=4,SUM(AT24:AT27),IF($A$1=5,SUM(AT24:AT28),IF($A$1=6,SUM(AT24:AT29),IF($A$1=7,SUM(AT24:AT30),IF($A$1=8,SUM(AT24:AT31),IF($A$1=9,SUM(AT24:AT32),IF($A$1=10,SUM(AT24:AT33))))))))</f>
        <v>0</v>
      </c>
      <c r="AV24" s="671"/>
      <c r="AW24" s="61">
        <f>SUMPRODUCT(LARGE((Input!$D$11:$D$985=15)*Input!$Q$11:$Q$985,1))</f>
        <v>0</v>
      </c>
      <c r="AX24" s="36">
        <f>IF($A$1=4,SUM(AW24:AW27),IF($A$1=5,SUM(AW24:AW28),IF($A$1=6,SUM(AW24:AW29),IF($A$1=7,SUM(AW24:AW30),IF($A$1=8,SUM(AW24:AW31),IF($A$1=9,SUM(AW24:AW32),IF($A$1=10,SUM(AW24:AW33))))))))</f>
        <v>0</v>
      </c>
      <c r="AY24" s="671"/>
      <c r="AZ24" s="61">
        <f>SUMPRODUCT(LARGE((Input!$D$11:$D$985=16)*Input!$Q$11:$Q$985,1))</f>
        <v>0</v>
      </c>
      <c r="BA24" s="36">
        <f>IF($A$1=4,SUM(AZ24:AZ27),IF($A$1=5,SUM(AZ24:AZ28),IF($A$1=6,SUM(AZ24:AZ29),IF($A$1=7,SUM(AY24:AZ30),IF($A$1=8,SUM(AY24:AZ31),IF($A$1=9,SUM(AZ24:AZ32),IF($A$1=10,SUM(AZ24:AZ33))))))))</f>
        <v>0</v>
      </c>
      <c r="BB24" s="671"/>
      <c r="BC24" s="61">
        <f>SUMPRODUCT(LARGE((Input!$D$11:$D$985=17)*Input!$Q$11:$Q$985,1))</f>
        <v>0</v>
      </c>
      <c r="BD24" s="36">
        <f>IF($A$1=4,SUM(BC24:BC27),IF($A$1=5,SUM(BC24:BC28),IF($A$1=6,SUM(BC24:BC29),IF($A$1=7,SUM(BC24:BC30),IF($A$1=8,SUM(BC24:BC31),IF($A$1=9,SUM(BC24:BC32),IF($A$1=10,SUM(BC24:BC33))))))))</f>
        <v>0</v>
      </c>
      <c r="BE24" s="671"/>
      <c r="BF24" s="61">
        <f>SUMPRODUCT(LARGE((Input!$D$11:$D$985=18)*Input!$Q$11:$Q$985,1))</f>
        <v>0</v>
      </c>
      <c r="BG24" s="36">
        <f>IF($A$1=4,SUM(BF24:BF27),IF($A$1=5,SUM(BF24:BF28),IF($A$1=6,SUM(BF24:BF29),IF($A$1=7,SUM(BF24:BF30),IF($A$1=8,SUM(BF24:BF31),IF($A$1=9,SUM(BF24:BF32),IF($A$1=10,SUM(BF24:BF33))))))))</f>
        <v>0</v>
      </c>
      <c r="BH24" s="671"/>
      <c r="BI24" s="61">
        <f>SUMPRODUCT(LARGE((Input!$D$11:$D$985=19)*Input!$Q$11:$Q$985,1))</f>
        <v>0</v>
      </c>
      <c r="BJ24" s="36">
        <f>IF($A$1=4,SUM(BI24:BI27),IF($A$1=5,SUM(BI24:BI28),IF($A$1=6,SUM(BI24:BI29),IF($A$1=7,SUM(BI24:BI30),IF($A$1=8,SUM(BI24:BI31),IF($A$1=9,SUM(BI24:BI32),IF($A$1=10,SUM(BI24:BI33))))))))</f>
        <v>0</v>
      </c>
      <c r="BK24" s="671"/>
      <c r="BL24" s="61">
        <f>SUMPRODUCT(LARGE((Input!$D$11:$D$985=20)*Input!$Q$11:$Q$985,1))</f>
        <v>0</v>
      </c>
      <c r="BM24" s="36">
        <f>IF($A$1=4,SUM(BL24:BL27),IF($A$1=5,SUM(BL24:BL28),IF($A$1=6,SUM(BL24:BL29),IF($A$1=7,SUM(BL24:BL30),IF($A$1=8,SUM(BL24:BL31),IF($A$1=9,SUM(BL24:BL32),IF($A$1=10,SUM(BL24:BL33))))))))</f>
        <v>0</v>
      </c>
      <c r="BN24" s="670"/>
    </row>
    <row r="25" spans="3:66" ht="13.5" hidden="1" thickBot="1" x14ac:dyDescent="0.3">
      <c r="C25" s="11"/>
      <c r="D25" s="30">
        <f>SUMPRODUCT(LARGE((Input!D$11:D$985=1)*Input!Q$11:Q$985,2))</f>
        <v>0</v>
      </c>
      <c r="E25" s="35"/>
      <c r="F25" s="37"/>
      <c r="G25" s="32">
        <f>SUMPRODUCT(LARGE((Input!D$11:D$985=2)*Input!Q$11:Q$985,2))</f>
        <v>0</v>
      </c>
      <c r="H25" s="36"/>
      <c r="I25" s="37"/>
      <c r="J25" s="32">
        <f>SUMPRODUCT(LARGE((Input!D$11:D$985=3)*Input!Q$11:Q$985,2))</f>
        <v>0</v>
      </c>
      <c r="K25" s="36"/>
      <c r="L25" s="38"/>
      <c r="M25" s="34">
        <f>SUMPRODUCT(LARGE((Input!D$11:D$985=4)*Input!Q$11:Q$985,2))</f>
        <v>0</v>
      </c>
      <c r="N25" s="36"/>
      <c r="O25" s="37"/>
      <c r="P25" s="32">
        <f>SUMPRODUCT(LARGE((Input!D$11:D$985=5)*Input!Q$11:Q$985,2))</f>
        <v>0</v>
      </c>
      <c r="Q25" s="36"/>
      <c r="R25" s="37"/>
      <c r="S25" s="32">
        <f>SUMPRODUCT(LARGE((Input!D$11:D$985=6)*Input!Q$11:Q$985,2))</f>
        <v>0</v>
      </c>
      <c r="T25" s="36"/>
      <c r="U25" s="37"/>
      <c r="V25" s="32">
        <f>SUMPRODUCT(LARGE((Input!D$11:D$985=7)*Input!Q$11:Q$985,2))</f>
        <v>0</v>
      </c>
      <c r="W25" s="36"/>
      <c r="X25" s="37"/>
      <c r="Y25" s="32">
        <f>SUMPRODUCT(LARGE((Input!D$11:D$985=8)*Input!Q$11:Q$985,2))</f>
        <v>0</v>
      </c>
      <c r="Z25" s="36"/>
      <c r="AA25" s="37"/>
      <c r="AB25" s="32">
        <f>SUMPRODUCT(LARGE((Input!D$11:D$985=9)*Input!Q$11:Q$985,2))</f>
        <v>0</v>
      </c>
      <c r="AC25" s="36"/>
      <c r="AD25" s="37"/>
      <c r="AE25" s="32">
        <f>SUMPRODUCT(LARGE((Input!$D$11:$D$985=10)*Input!$Q$11:$Q$985,2))</f>
        <v>0</v>
      </c>
      <c r="AF25" s="36"/>
      <c r="AG25" s="314"/>
      <c r="AH25" s="34">
        <f>SUMPRODUCT(LARGE((Input!$D$11:$D$985=11)*Input!$Q$11:$Q$985,2))</f>
        <v>0</v>
      </c>
      <c r="AI25" s="347"/>
      <c r="AJ25" s="347"/>
      <c r="AK25" s="11"/>
      <c r="AL25" s="36"/>
      <c r="AM25" s="37"/>
      <c r="AN25" s="34">
        <f>SUMPRODUCT(LARGE((Input!$D$11:$D$985=12)*Input!$Q$11:$Q$985,2))</f>
        <v>0</v>
      </c>
      <c r="AO25" s="36"/>
      <c r="AP25" s="37"/>
      <c r="AQ25" s="34">
        <f>SUMPRODUCT(LARGE((Input!$D$11:$D$985=13)*Input!$Q$11:$Q$985,2))</f>
        <v>0</v>
      </c>
      <c r="AR25" s="36"/>
      <c r="AS25" s="37"/>
      <c r="AT25" s="34">
        <f>SUMPRODUCT(LARGE((Input!$D$11:$D$985=14)*Input!$Q$11:$Q$985,2))</f>
        <v>0</v>
      </c>
      <c r="AU25" s="36"/>
      <c r="AV25" s="37"/>
      <c r="AW25" s="34">
        <f>SUMPRODUCT(LARGE((Input!$D$11:$D$985=15)*Input!$Q$11:$Q$985,2))</f>
        <v>0</v>
      </c>
      <c r="AX25" s="36"/>
      <c r="AY25" s="37"/>
      <c r="AZ25" s="34">
        <f>SUMPRODUCT(LARGE((Input!$D$11:$D$985=16)*Input!$Q$11:$Q$985,2))</f>
        <v>0</v>
      </c>
      <c r="BA25" s="36"/>
      <c r="BB25" s="37"/>
      <c r="BC25" s="34">
        <f>SUMPRODUCT(LARGE((Input!$D$11:$D$985=17)*Input!$Q$11:$Q$985,2))</f>
        <v>0</v>
      </c>
      <c r="BD25" s="36"/>
      <c r="BE25" s="37"/>
      <c r="BF25" s="34">
        <f>SUMPRODUCT(LARGE((Input!$D$11:$D$985=18)*Input!$Q$11:$Q$985,2))</f>
        <v>0</v>
      </c>
      <c r="BG25" s="36"/>
      <c r="BH25" s="37"/>
      <c r="BI25" s="34">
        <f>SUMPRODUCT(LARGE((Input!$D$11:$D$985=19)*Input!$Q$11:$Q$985,2))</f>
        <v>0</v>
      </c>
      <c r="BJ25" s="36"/>
      <c r="BK25" s="37"/>
      <c r="BL25" s="34">
        <f>SUMPRODUCT(LARGE((Input!$D$11:$D$985=20)*Input!$Q$11:$Q$985,2))</f>
        <v>0</v>
      </c>
      <c r="BM25" s="36"/>
      <c r="BN25" s="39"/>
    </row>
    <row r="26" spans="3:66" ht="13.5" hidden="1" thickBot="1" x14ac:dyDescent="0.3">
      <c r="C26" s="11"/>
      <c r="D26" s="30">
        <f>SUMPRODUCT(LARGE((Input!D$11:D$985=1)*Input!Q$11:Q$985,3))</f>
        <v>0</v>
      </c>
      <c r="E26" s="35"/>
      <c r="F26" s="37"/>
      <c r="G26" s="32">
        <f>SUMPRODUCT(LARGE((Input!D$11:D$985=2)*Input!Q$11:Q$985,3))</f>
        <v>0</v>
      </c>
      <c r="H26" s="36"/>
      <c r="I26" s="37"/>
      <c r="J26" s="32">
        <f>SUMPRODUCT(LARGE((Input!D$11:D$985=3)*Input!Q$11:Q$985,3))</f>
        <v>0</v>
      </c>
      <c r="K26" s="36"/>
      <c r="L26" s="38"/>
      <c r="M26" s="34">
        <f>SUMPRODUCT(LARGE((Input!D$11:D$985=4)*Input!Q$11:Q$985,3))</f>
        <v>0</v>
      </c>
      <c r="N26" s="36"/>
      <c r="O26" s="37"/>
      <c r="P26" s="32">
        <f>SUMPRODUCT(LARGE((Input!D$11:D$985=5)*Input!Q$11:Q$985,3))</f>
        <v>0</v>
      </c>
      <c r="Q26" s="36"/>
      <c r="R26" s="37"/>
      <c r="S26" s="32">
        <f>SUMPRODUCT(LARGE((Input!D$11:D$985=6)*Input!Q$11:Q$985,3))</f>
        <v>0</v>
      </c>
      <c r="T26" s="36"/>
      <c r="U26" s="37"/>
      <c r="V26" s="32">
        <f>SUMPRODUCT(LARGE((Input!D$11:D$985=7)*Input!Q$11:Q$985,3))</f>
        <v>0</v>
      </c>
      <c r="W26" s="36"/>
      <c r="X26" s="37"/>
      <c r="Y26" s="32">
        <f>SUMPRODUCT(LARGE((Input!D$11:D$985=8)*Input!Q$11:Q$985,3))</f>
        <v>0</v>
      </c>
      <c r="Z26" s="36"/>
      <c r="AA26" s="37"/>
      <c r="AB26" s="32">
        <f>SUMPRODUCT(LARGE((Input!D$11:D$985=9)*Input!Q$11:Q$985,3))</f>
        <v>0</v>
      </c>
      <c r="AC26" s="36"/>
      <c r="AD26" s="37"/>
      <c r="AE26" s="32">
        <f>SUMPRODUCT(LARGE((Input!$D$11:$D$985=10)*Input!$Q$11:$Q$985,3))</f>
        <v>0</v>
      </c>
      <c r="AF26" s="36"/>
      <c r="AG26" s="314"/>
      <c r="AH26" s="34">
        <f>SUMPRODUCT(LARGE((Input!$D$11:$D$985=11)*Input!$Q$11:$Q$985,3))</f>
        <v>0</v>
      </c>
      <c r="AI26" s="347"/>
      <c r="AJ26" s="347"/>
      <c r="AK26" s="11"/>
      <c r="AL26" s="36"/>
      <c r="AM26" s="37"/>
      <c r="AN26" s="34">
        <f>SUMPRODUCT(LARGE((Input!$D$11:$D$985=12)*Input!$Q$11:$Q$985,3))</f>
        <v>0</v>
      </c>
      <c r="AO26" s="36"/>
      <c r="AP26" s="37"/>
      <c r="AQ26" s="34">
        <f>SUMPRODUCT(LARGE((Input!$D$11:$D$985=13)*Input!$Q$11:$Q$985,3))</f>
        <v>0</v>
      </c>
      <c r="AR26" s="36"/>
      <c r="AS26" s="37"/>
      <c r="AT26" s="34">
        <f>SUMPRODUCT(LARGE((Input!$D$11:$D$985=14)*Input!$Q$11:$Q$985,3))</f>
        <v>0</v>
      </c>
      <c r="AU26" s="36"/>
      <c r="AV26" s="37"/>
      <c r="AW26" s="34">
        <f>SUMPRODUCT(LARGE((Input!$D$11:$D$985=15)*Input!$Q$11:$Q$985,3))</f>
        <v>0</v>
      </c>
      <c r="AX26" s="36"/>
      <c r="AY26" s="37"/>
      <c r="AZ26" s="34">
        <f>SUMPRODUCT(LARGE((Input!$D$11:$D$985=16)*Input!$Q$11:$Q$985,3))</f>
        <v>0</v>
      </c>
      <c r="BA26" s="36"/>
      <c r="BB26" s="37"/>
      <c r="BC26" s="34">
        <f>SUMPRODUCT(LARGE((Input!$D$11:$D$985=17)*Input!$Q$11:$Q$985,3))</f>
        <v>0</v>
      </c>
      <c r="BD26" s="36"/>
      <c r="BE26" s="37"/>
      <c r="BF26" s="34">
        <f>SUMPRODUCT(LARGE((Input!$D$11:$D$985=18)*Input!$Q$11:$Q$985,3))</f>
        <v>0</v>
      </c>
      <c r="BG26" s="36"/>
      <c r="BH26" s="37"/>
      <c r="BI26" s="34">
        <f>SUMPRODUCT(LARGE((Input!$D$11:$D$985=19)*Input!$Q$11:$Q$985,3))</f>
        <v>0</v>
      </c>
      <c r="BJ26" s="36"/>
      <c r="BK26" s="37"/>
      <c r="BL26" s="34">
        <f>SUMPRODUCT(LARGE((Input!$D$11:$D$985=20)*Input!$Q$11:$Q$985,3))</f>
        <v>0</v>
      </c>
      <c r="BM26" s="36"/>
      <c r="BN26" s="39"/>
    </row>
    <row r="27" spans="3:66" ht="13.5" hidden="1" thickBot="1" x14ac:dyDescent="0.3">
      <c r="C27" s="11"/>
      <c r="D27" s="30">
        <f>SUMPRODUCT(LARGE((Input!D$11:D$985=1)*Input!Q$11:Q$985,4))</f>
        <v>0</v>
      </c>
      <c r="E27" s="35"/>
      <c r="F27" s="37"/>
      <c r="G27" s="32">
        <f>SUMPRODUCT(LARGE((Input!D$11:D$985=2)*Input!Q$11:Q$985,4))</f>
        <v>0</v>
      </c>
      <c r="H27" s="36"/>
      <c r="I27" s="37"/>
      <c r="J27" s="32">
        <f>SUMPRODUCT(LARGE((Input!D$11:D$985=3)*Input!Q$11:Q$985,4))</f>
        <v>0</v>
      </c>
      <c r="K27" s="36"/>
      <c r="L27" s="38"/>
      <c r="M27" s="34">
        <f>SUMPRODUCT(LARGE((Input!D$11:D$985=4)*Input!Q$11:Q$985,4))</f>
        <v>0</v>
      </c>
      <c r="N27" s="36"/>
      <c r="O27" s="37"/>
      <c r="P27" s="32">
        <f>SUMPRODUCT(LARGE((Input!D$11:D$985=5)*Input!Q$11:Q$985,4))</f>
        <v>0</v>
      </c>
      <c r="Q27" s="36"/>
      <c r="R27" s="37"/>
      <c r="S27" s="32">
        <f>SUMPRODUCT(LARGE((Input!D$11:D$985=6)*Input!Q$11:Q$985,4))</f>
        <v>0</v>
      </c>
      <c r="T27" s="36"/>
      <c r="U27" s="37"/>
      <c r="V27" s="32">
        <f>SUMPRODUCT(LARGE((Input!D$11:D$985=7)*Input!Q$11:Q$985,4))</f>
        <v>0</v>
      </c>
      <c r="W27" s="36"/>
      <c r="X27" s="37"/>
      <c r="Y27" s="32">
        <f>SUMPRODUCT(LARGE((Input!D$11:D$985=8)*Input!Q$11:Q$985,4))</f>
        <v>0</v>
      </c>
      <c r="Z27" s="36"/>
      <c r="AA27" s="37"/>
      <c r="AB27" s="32">
        <f>SUMPRODUCT(LARGE((Input!D$11:D$985=9)*Input!Q$11:Q$985,4))</f>
        <v>0</v>
      </c>
      <c r="AC27" s="36"/>
      <c r="AD27" s="37"/>
      <c r="AE27" s="32">
        <f>SUMPRODUCT(LARGE((Input!$D$11:$D$985=10)*Input!$Q$11:$Q$985,4))</f>
        <v>0</v>
      </c>
      <c r="AF27" s="36"/>
      <c r="AG27" s="314"/>
      <c r="AH27" s="34">
        <f>SUMPRODUCT(LARGE((Input!$D$11:$D$985=11)*Input!$Q$11:$Q$985,4))</f>
        <v>0</v>
      </c>
      <c r="AI27" s="347"/>
      <c r="AJ27" s="347"/>
      <c r="AK27" s="11"/>
      <c r="AL27" s="36"/>
      <c r="AM27" s="37"/>
      <c r="AN27" s="34">
        <f>SUMPRODUCT(LARGE((Input!$D$11:$D$985=12)*Input!$Q$11:$Q$985,4))</f>
        <v>0</v>
      </c>
      <c r="AO27" s="36"/>
      <c r="AP27" s="37"/>
      <c r="AQ27" s="34">
        <f>SUMPRODUCT(LARGE((Input!$D$11:$D$985=13)*Input!$Q$11:$Q$985,4))</f>
        <v>0</v>
      </c>
      <c r="AR27" s="36"/>
      <c r="AS27" s="37"/>
      <c r="AT27" s="34">
        <f>SUMPRODUCT(LARGE((Input!$D$11:$D$985=14)*Input!$Q$11:$Q$985,4))</f>
        <v>0</v>
      </c>
      <c r="AU27" s="36"/>
      <c r="AV27" s="37"/>
      <c r="AW27" s="34">
        <f>SUMPRODUCT(LARGE((Input!$D$11:$D$985=15)*Input!$Q$11:$Q$985,4))</f>
        <v>0</v>
      </c>
      <c r="AX27" s="36"/>
      <c r="AY27" s="37"/>
      <c r="AZ27" s="34">
        <f>SUMPRODUCT(LARGE((Input!$D$11:$D$985=16)*Input!$Q$11:$Q$985,4))</f>
        <v>0</v>
      </c>
      <c r="BA27" s="36"/>
      <c r="BB27" s="37"/>
      <c r="BC27" s="34">
        <f>SUMPRODUCT(LARGE((Input!$D$11:$D$985=17)*Input!$Q$11:$Q$985,4))</f>
        <v>0</v>
      </c>
      <c r="BD27" s="36"/>
      <c r="BE27" s="37"/>
      <c r="BF27" s="34">
        <f>SUMPRODUCT(LARGE((Input!$D$11:$D$985=18)*Input!$Q$11:$Q$985,4))</f>
        <v>0</v>
      </c>
      <c r="BG27" s="36"/>
      <c r="BH27" s="37"/>
      <c r="BI27" s="34">
        <f>SUMPRODUCT(LARGE((Input!$D$11:$D$985=19)*Input!$Q$11:$Q$985,4))</f>
        <v>0</v>
      </c>
      <c r="BJ27" s="36"/>
      <c r="BK27" s="37"/>
      <c r="BL27" s="34">
        <f>SUMPRODUCT(LARGE((Input!$D$11:$D$985=20)*Input!$Q$11:$Q$985,4))</f>
        <v>0</v>
      </c>
      <c r="BM27" s="36"/>
      <c r="BN27" s="39"/>
    </row>
    <row r="28" spans="3:66" ht="13.5" hidden="1" thickBot="1" x14ac:dyDescent="0.3">
      <c r="C28" s="11"/>
      <c r="D28" s="30">
        <f>SUMPRODUCT(LARGE((Input!D$11:D$985=1)*Input!Q$11:Q$985,5))</f>
        <v>0</v>
      </c>
      <c r="E28" s="35"/>
      <c r="F28" s="37"/>
      <c r="G28" s="32">
        <f>SUMPRODUCT(LARGE((Input!D$11:D$985=2)*Input!Q$11:Q$985,5))</f>
        <v>0</v>
      </c>
      <c r="H28" s="36"/>
      <c r="I28" s="37"/>
      <c r="J28" s="32">
        <f>SUMPRODUCT(LARGE((Input!D$11:D$985=3)*Input!Q$11:Q$985,5))</f>
        <v>0</v>
      </c>
      <c r="K28" s="36"/>
      <c r="L28" s="38"/>
      <c r="M28" s="34">
        <f>SUMPRODUCT(LARGE((Input!D$11:D$985=4)*Input!Q$11:Q$985,5))</f>
        <v>0</v>
      </c>
      <c r="N28" s="36"/>
      <c r="O28" s="37"/>
      <c r="P28" s="32">
        <f>SUMPRODUCT(LARGE((Input!D$11:D$985=5)*Input!Q$11:Q$985,5))</f>
        <v>0</v>
      </c>
      <c r="Q28" s="36"/>
      <c r="R28" s="37"/>
      <c r="S28" s="32">
        <f>SUMPRODUCT(LARGE((Input!D$11:D$985=6)*Input!Q$11:Q$985,5))</f>
        <v>0</v>
      </c>
      <c r="T28" s="36"/>
      <c r="U28" s="37"/>
      <c r="V28" s="32">
        <f>SUMPRODUCT(LARGE((Input!D$11:D$985=7)*Input!Q$11:Q$985,5))</f>
        <v>0</v>
      </c>
      <c r="W28" s="36"/>
      <c r="X28" s="37"/>
      <c r="Y28" s="32">
        <f>SUMPRODUCT(LARGE((Input!D$11:D$985=8)*Input!Q$11:Q$985,5))</f>
        <v>0</v>
      </c>
      <c r="Z28" s="36"/>
      <c r="AA28" s="37"/>
      <c r="AB28" s="32">
        <f>SUMPRODUCT(LARGE((Input!D$11:D$985=9)*Input!Q$11:Q$985,5))</f>
        <v>0</v>
      </c>
      <c r="AC28" s="36"/>
      <c r="AD28" s="37"/>
      <c r="AE28" s="32">
        <f>SUMPRODUCT(LARGE((Input!$D$11:$D$985=10)*Input!$Q$11:$Q$985,5))</f>
        <v>0</v>
      </c>
      <c r="AF28" s="36"/>
      <c r="AG28" s="314"/>
      <c r="AH28" s="34">
        <f>SUMPRODUCT(LARGE((Input!$D$11:$D$985=11)*Input!$Q$11:$Q$985,5))</f>
        <v>0</v>
      </c>
      <c r="AI28" s="347"/>
      <c r="AJ28" s="347"/>
      <c r="AK28" s="11"/>
      <c r="AL28" s="36"/>
      <c r="AM28" s="37"/>
      <c r="AN28" s="34">
        <f>SUMPRODUCT(LARGE((Input!$D$11:$D$985=12)*Input!$Q$11:$Q$985,5))</f>
        <v>0</v>
      </c>
      <c r="AO28" s="36"/>
      <c r="AP28" s="37"/>
      <c r="AQ28" s="34">
        <f>SUMPRODUCT(LARGE((Input!$D$11:$D$985=13)*Input!$Q$11:$Q$985,5))</f>
        <v>0</v>
      </c>
      <c r="AR28" s="36"/>
      <c r="AS28" s="37"/>
      <c r="AT28" s="34">
        <f>SUMPRODUCT(LARGE((Input!$D$11:$D$985=14)*Input!$Q$11:$Q$985,5))</f>
        <v>0</v>
      </c>
      <c r="AU28" s="36"/>
      <c r="AV28" s="37"/>
      <c r="AW28" s="34">
        <f>SUMPRODUCT(LARGE((Input!$D$11:$D$985=15)*Input!$Q$11:$Q$985,5))</f>
        <v>0</v>
      </c>
      <c r="AX28" s="36"/>
      <c r="AY28" s="37"/>
      <c r="AZ28" s="34">
        <f>SUMPRODUCT(LARGE((Input!$D$11:$D$985=16)*Input!$Q$11:$Q$985,5))</f>
        <v>0</v>
      </c>
      <c r="BA28" s="36"/>
      <c r="BB28" s="37"/>
      <c r="BC28" s="34">
        <f>SUMPRODUCT(LARGE((Input!$D$11:$D$985=17)*Input!$Q$11:$Q$985,5))</f>
        <v>0</v>
      </c>
      <c r="BD28" s="36"/>
      <c r="BE28" s="37"/>
      <c r="BF28" s="34">
        <f>SUMPRODUCT(LARGE((Input!$D$11:$D$985=18)*Input!$Q$11:$Q$985,5))</f>
        <v>0</v>
      </c>
      <c r="BG28" s="36"/>
      <c r="BH28" s="37"/>
      <c r="BI28" s="34">
        <f>SUMPRODUCT(LARGE((Input!$D$11:$D$985=19)*Input!$Q$11:$Q$985,5))</f>
        <v>0</v>
      </c>
      <c r="BJ28" s="36"/>
      <c r="BK28" s="37"/>
      <c r="BL28" s="34">
        <f>SUMPRODUCT(LARGE((Input!$D$11:$D$985=20)*Input!$Q$11:$Q$985,5))</f>
        <v>0</v>
      </c>
      <c r="BM28" s="36"/>
      <c r="BN28" s="39"/>
    </row>
    <row r="29" spans="3:66" ht="13.5" hidden="1" thickBot="1" x14ac:dyDescent="0.3">
      <c r="C29" s="11"/>
      <c r="D29" s="30">
        <f>SUMPRODUCT(LARGE((Input!D$11:D$985=1)*Input!Q$11:Q$985,6))</f>
        <v>0</v>
      </c>
      <c r="E29" s="35"/>
      <c r="F29" s="37"/>
      <c r="G29" s="32">
        <f>SUMPRODUCT(LARGE((Input!D$11:D$985=2)*Input!Q$11:Q$985,6))</f>
        <v>0</v>
      </c>
      <c r="H29" s="36"/>
      <c r="I29" s="37"/>
      <c r="J29" s="32">
        <f>SUMPRODUCT(LARGE((Input!D$11:D$985=3)*Input!Q$11:Q$985,6))</f>
        <v>0</v>
      </c>
      <c r="K29" s="36"/>
      <c r="L29" s="38"/>
      <c r="M29" s="34">
        <f>SUMPRODUCT(LARGE((Input!D$11:D$985=4)*Input!Q$11:Q$985,6))</f>
        <v>0</v>
      </c>
      <c r="N29" s="36"/>
      <c r="O29" s="37"/>
      <c r="P29" s="32">
        <f>SUMPRODUCT(LARGE((Input!D$11:D$985=5)*Input!Q$11:Q$985,6))</f>
        <v>0</v>
      </c>
      <c r="Q29" s="36"/>
      <c r="R29" s="37"/>
      <c r="S29" s="32">
        <f>SUMPRODUCT(LARGE((Input!D$11:D$985=6)*Input!Q$11:Q$985,6))</f>
        <v>0</v>
      </c>
      <c r="T29" s="36"/>
      <c r="U29" s="37"/>
      <c r="V29" s="32">
        <f>SUMPRODUCT(LARGE((Input!D$11:D$985=7)*Input!Q$11:Q$985,6))</f>
        <v>0</v>
      </c>
      <c r="W29" s="36"/>
      <c r="X29" s="37"/>
      <c r="Y29" s="32">
        <f>SUMPRODUCT(LARGE((Input!D$11:D$985=8)*Input!Q$11:Q$985,6))</f>
        <v>0</v>
      </c>
      <c r="Z29" s="36"/>
      <c r="AA29" s="37"/>
      <c r="AB29" s="32">
        <f>SUMPRODUCT(LARGE((Input!D$11:D$985=9)*Input!Q$11:Q$985,6))</f>
        <v>0</v>
      </c>
      <c r="AC29" s="36"/>
      <c r="AD29" s="37"/>
      <c r="AE29" s="32">
        <f>SUMPRODUCT(LARGE((Input!$D$11:$D$985=10)*Input!$Q$11:$Q$985,6))</f>
        <v>0</v>
      </c>
      <c r="AF29" s="36"/>
      <c r="AG29" s="314"/>
      <c r="AH29" s="34">
        <f>SUMPRODUCT(LARGE((Input!$D$11:$D$985=11)*Input!$Q$11:$Q$985,6))</f>
        <v>0</v>
      </c>
      <c r="AI29" s="347"/>
      <c r="AJ29" s="347"/>
      <c r="AK29" s="11"/>
      <c r="AL29" s="36"/>
      <c r="AM29" s="37"/>
      <c r="AN29" s="34">
        <f>SUMPRODUCT(LARGE((Input!$D$11:$D$985=12)*Input!$Q$11:$Q$985,6))</f>
        <v>0</v>
      </c>
      <c r="AO29" s="36"/>
      <c r="AP29" s="37"/>
      <c r="AQ29" s="34">
        <f>SUMPRODUCT(LARGE((Input!$D$11:$D$985=13)*Input!$Q$11:$Q$985,6))</f>
        <v>0</v>
      </c>
      <c r="AR29" s="36"/>
      <c r="AS29" s="37"/>
      <c r="AT29" s="34">
        <f>SUMPRODUCT(LARGE((Input!$D$11:$D$985=14)*Input!$Q$11:$Q$985,6))</f>
        <v>0</v>
      </c>
      <c r="AU29" s="36"/>
      <c r="AV29" s="37"/>
      <c r="AW29" s="34">
        <f>SUMPRODUCT(LARGE((Input!$D$11:$D$985=15)*Input!$Q$11:$Q$985,6))</f>
        <v>0</v>
      </c>
      <c r="AX29" s="36"/>
      <c r="AY29" s="37"/>
      <c r="AZ29" s="34">
        <f>SUMPRODUCT(LARGE((Input!$D$11:$D$985=16)*Input!$Q$11:$Q$985,6))</f>
        <v>0</v>
      </c>
      <c r="BA29" s="36"/>
      <c r="BB29" s="37"/>
      <c r="BC29" s="34">
        <f>SUMPRODUCT(LARGE((Input!$D$11:$D$985=17)*Input!$Q$11:$Q$985,6))</f>
        <v>0</v>
      </c>
      <c r="BD29" s="36"/>
      <c r="BE29" s="37"/>
      <c r="BF29" s="34">
        <f>SUMPRODUCT(LARGE((Input!$D$11:$D$985=18)*Input!$Q$11:$Q$985,6))</f>
        <v>0</v>
      </c>
      <c r="BG29" s="36"/>
      <c r="BH29" s="37"/>
      <c r="BI29" s="34">
        <f>SUMPRODUCT(LARGE((Input!$D$11:$D$985=19)*Input!$Q$11:$Q$985,6))</f>
        <v>0</v>
      </c>
      <c r="BJ29" s="36"/>
      <c r="BK29" s="37"/>
      <c r="BL29" s="34">
        <f>SUMPRODUCT(LARGE((Input!$D$11:$D$985=20)*Input!$Q$11:$Q$985,6))</f>
        <v>0</v>
      </c>
      <c r="BM29" s="36"/>
      <c r="BN29" s="39"/>
    </row>
    <row r="30" spans="3:66" ht="13.5" hidden="1" thickBot="1" x14ac:dyDescent="0.3">
      <c r="C30" s="11"/>
      <c r="D30" s="30">
        <f>SUMPRODUCT(LARGE((Input!D$11:D$985=1)*Input!Q$11:Q$985,7))</f>
        <v>0</v>
      </c>
      <c r="E30" s="35"/>
      <c r="F30" s="37"/>
      <c r="G30" s="32">
        <f>SUMPRODUCT(LARGE((Input!D$11:D$985=2)*Input!Q$11:Q$985,7))</f>
        <v>0</v>
      </c>
      <c r="H30" s="36"/>
      <c r="I30" s="37"/>
      <c r="J30" s="32">
        <f>SUMPRODUCT(LARGE((Input!D$11:D$985=3)*Input!Q$11:Q$985,7))</f>
        <v>0</v>
      </c>
      <c r="K30" s="36"/>
      <c r="L30" s="38"/>
      <c r="M30" s="34">
        <f>SUMPRODUCT(LARGE((Input!D$11:D$985=4)*Input!Q$11:Q$985,7))</f>
        <v>0</v>
      </c>
      <c r="N30" s="36"/>
      <c r="O30" s="37"/>
      <c r="P30" s="32">
        <f>SUMPRODUCT(LARGE((Input!D$11:D$985=5)*Input!Q$11:Q$985,7))</f>
        <v>0</v>
      </c>
      <c r="Q30" s="36"/>
      <c r="R30" s="37"/>
      <c r="S30" s="32">
        <f>SUMPRODUCT(LARGE((Input!D$11:D$985=6)*Input!Q$11:Q$985,7))</f>
        <v>0</v>
      </c>
      <c r="T30" s="36"/>
      <c r="U30" s="37"/>
      <c r="V30" s="32">
        <f>SUMPRODUCT(LARGE((Input!D$11:D$985=7)*Input!Q$11:Q$985,7))</f>
        <v>0</v>
      </c>
      <c r="W30" s="36"/>
      <c r="X30" s="37"/>
      <c r="Y30" s="32">
        <f>SUMPRODUCT(LARGE((Input!D$11:D$985=8)*Input!Q$11:Q$985,7))</f>
        <v>0</v>
      </c>
      <c r="Z30" s="36"/>
      <c r="AA30" s="37"/>
      <c r="AB30" s="32">
        <f>SUMPRODUCT(LARGE((Input!D$11:D$985=9)*Input!Q$11:Q$985,7))</f>
        <v>0</v>
      </c>
      <c r="AC30" s="36"/>
      <c r="AD30" s="37"/>
      <c r="AE30" s="32">
        <f>SUMPRODUCT(LARGE((Input!$D$11:$D$985=10)*Input!$Q$11:$Q$985,7))</f>
        <v>0</v>
      </c>
      <c r="AF30" s="36"/>
      <c r="AG30" s="314"/>
      <c r="AH30" s="34">
        <f>SUMPRODUCT(LARGE((Input!$D$11:$D$985=11)*Input!$Q$11:$Q$985,7))</f>
        <v>0</v>
      </c>
      <c r="AI30" s="347"/>
      <c r="AJ30" s="347"/>
      <c r="AK30" s="11"/>
      <c r="AL30" s="36"/>
      <c r="AM30" s="37"/>
      <c r="AN30" s="34">
        <f>SUMPRODUCT(LARGE((Input!$D$11:$D$985=12)*Input!$Q$11:$Q$985,7))</f>
        <v>0</v>
      </c>
      <c r="AO30" s="36"/>
      <c r="AP30" s="37"/>
      <c r="AQ30" s="34">
        <f>SUMPRODUCT(LARGE((Input!$D$11:$D$985=13)*Input!$Q$11:$Q$985,7))</f>
        <v>0</v>
      </c>
      <c r="AR30" s="36"/>
      <c r="AS30" s="37"/>
      <c r="AT30" s="34">
        <f>SUMPRODUCT(LARGE((Input!$D$11:$D$985=14)*Input!$Q$11:$Q$985,7))</f>
        <v>0</v>
      </c>
      <c r="AU30" s="36"/>
      <c r="AV30" s="37"/>
      <c r="AW30" s="34">
        <f>SUMPRODUCT(LARGE((Input!$D$11:$D$985=15)*Input!$Q$11:$Q$985,7))</f>
        <v>0</v>
      </c>
      <c r="AX30" s="36"/>
      <c r="AY30" s="37"/>
      <c r="AZ30" s="34">
        <f>SUMPRODUCT(LARGE((Input!$D$11:$D$985=16)*Input!$Q$11:$Q$985,7))</f>
        <v>0</v>
      </c>
      <c r="BA30" s="36"/>
      <c r="BB30" s="37"/>
      <c r="BC30" s="34">
        <f>SUMPRODUCT(LARGE((Input!$D$11:$D$985=17)*Input!$Q$11:$Q$985,7))</f>
        <v>0</v>
      </c>
      <c r="BD30" s="36"/>
      <c r="BE30" s="37"/>
      <c r="BF30" s="34">
        <f>SUMPRODUCT(LARGE((Input!$D$11:$D$985=18)*Input!$Q$11:$Q$985,7))</f>
        <v>0</v>
      </c>
      <c r="BG30" s="36"/>
      <c r="BH30" s="37"/>
      <c r="BI30" s="34">
        <f>SUMPRODUCT(LARGE((Input!$D$11:$D$985=19)*Input!$Q$11:$Q$985,7))</f>
        <v>0</v>
      </c>
      <c r="BJ30" s="36"/>
      <c r="BK30" s="37"/>
      <c r="BL30" s="34">
        <f>SUMPRODUCT(LARGE((Input!$D$11:$D$985=20)*Input!$Q$11:$Q$985,7))</f>
        <v>0</v>
      </c>
      <c r="BM30" s="36"/>
      <c r="BN30" s="39"/>
    </row>
    <row r="31" spans="3:66" ht="13.5" hidden="1" thickBot="1" x14ac:dyDescent="0.3">
      <c r="C31" s="11"/>
      <c r="D31" s="30">
        <f>SUMPRODUCT(LARGE((Input!D$11:D$985=1)*Input!Q$11:Q$985,8))</f>
        <v>0</v>
      </c>
      <c r="E31" s="35"/>
      <c r="F31" s="37"/>
      <c r="G31" s="32">
        <f>SUMPRODUCT(LARGE((Input!D$11:D$985=2)*Input!Q$11:Q$985,8))</f>
        <v>0</v>
      </c>
      <c r="H31" s="36"/>
      <c r="I31" s="37"/>
      <c r="J31" s="32">
        <f>SUMPRODUCT(LARGE((Input!D$11:D$985=3)*Input!Q$11:Q$985,8))</f>
        <v>0</v>
      </c>
      <c r="K31" s="36"/>
      <c r="L31" s="38"/>
      <c r="M31" s="34">
        <f>SUMPRODUCT(LARGE((Input!D$11:D$985=4)*Input!Q$11:Q$985,8))</f>
        <v>0</v>
      </c>
      <c r="N31" s="36"/>
      <c r="O31" s="37"/>
      <c r="P31" s="32">
        <f>SUMPRODUCT(LARGE((Input!D$11:D$985=5)*Input!Q$11:Q$985,8))</f>
        <v>0</v>
      </c>
      <c r="Q31" s="36"/>
      <c r="R31" s="37"/>
      <c r="S31" s="32">
        <f>SUMPRODUCT(LARGE((Input!D$11:D$985=6)*Input!Q$11:Q$985,8))</f>
        <v>0</v>
      </c>
      <c r="T31" s="36"/>
      <c r="U31" s="37"/>
      <c r="V31" s="32">
        <f>SUMPRODUCT(LARGE((Input!D$11:D$985=7)*Input!Q$11:Q$985,8))</f>
        <v>0</v>
      </c>
      <c r="W31" s="36"/>
      <c r="X31" s="37"/>
      <c r="Y31" s="32">
        <f>SUMPRODUCT(LARGE((Input!D$11:D$985=8)*Input!Q$11:Q$985,8))</f>
        <v>0</v>
      </c>
      <c r="Z31" s="36"/>
      <c r="AA31" s="37"/>
      <c r="AB31" s="32">
        <f>SUMPRODUCT(LARGE((Input!D$11:D$985=9)*Input!Q$11:Q$985,8))</f>
        <v>0</v>
      </c>
      <c r="AC31" s="36"/>
      <c r="AD31" s="37"/>
      <c r="AE31" s="32">
        <f>SUMPRODUCT(LARGE((Input!$D$11:$D$985=10)*Input!$Q$11:$Q$985,8))</f>
        <v>0</v>
      </c>
      <c r="AF31" s="36"/>
      <c r="AG31" s="314"/>
      <c r="AH31" s="34">
        <f>SUMPRODUCT(LARGE((Input!$D$11:$D$985=11)*Input!$Q$11:$Q$985,8))</f>
        <v>0</v>
      </c>
      <c r="AI31" s="347"/>
      <c r="AJ31" s="347"/>
      <c r="AK31" s="11"/>
      <c r="AL31" s="36"/>
      <c r="AM31" s="37"/>
      <c r="AN31" s="34">
        <f>SUMPRODUCT(LARGE((Input!$D$11:$D$985=12)*Input!$Q$11:$Q$985,8))</f>
        <v>0</v>
      </c>
      <c r="AO31" s="36"/>
      <c r="AP31" s="37"/>
      <c r="AQ31" s="34">
        <f>SUMPRODUCT(LARGE((Input!$D$11:$D$985=13)*Input!$Q$11:$Q$985,8))</f>
        <v>0</v>
      </c>
      <c r="AR31" s="36"/>
      <c r="AS31" s="37"/>
      <c r="AT31" s="34">
        <f>SUMPRODUCT(LARGE((Input!$D$11:$D$985=14)*Input!$Q$11:$Q$985,8))</f>
        <v>0</v>
      </c>
      <c r="AU31" s="36"/>
      <c r="AV31" s="37"/>
      <c r="AW31" s="34">
        <f>SUMPRODUCT(LARGE((Input!$D$11:$D$985=15)*Input!$Q$11:$Q$985,8))</f>
        <v>0</v>
      </c>
      <c r="AX31" s="36"/>
      <c r="AY31" s="37"/>
      <c r="AZ31" s="34">
        <f>SUMPRODUCT(LARGE((Input!$D$11:$D$985=16)*Input!$Q$11:$Q$985,8))</f>
        <v>0</v>
      </c>
      <c r="BA31" s="36"/>
      <c r="BB31" s="37"/>
      <c r="BC31" s="34">
        <f>SUMPRODUCT(LARGE((Input!$D$11:$D$985=17)*Input!$Q$11:$Q$985,8))</f>
        <v>0</v>
      </c>
      <c r="BD31" s="36"/>
      <c r="BE31" s="37"/>
      <c r="BF31" s="34">
        <f>SUMPRODUCT(LARGE((Input!$D$11:$D$985=18)*Input!$Q$11:$Q$985,8))</f>
        <v>0</v>
      </c>
      <c r="BG31" s="36"/>
      <c r="BH31" s="37"/>
      <c r="BI31" s="34">
        <f>SUMPRODUCT(LARGE((Input!$D$11:$D$985=19)*Input!$Q$11:$Q$985,8))</f>
        <v>0</v>
      </c>
      <c r="BJ31" s="36"/>
      <c r="BK31" s="37"/>
      <c r="BL31" s="34">
        <f>SUMPRODUCT(LARGE((Input!$D$11:$D$985=20)*Input!$Q$11:$Q$985,8))</f>
        <v>0</v>
      </c>
      <c r="BM31" s="36"/>
      <c r="BN31" s="39"/>
    </row>
    <row r="32" spans="3:66" ht="13.5" hidden="1" thickBot="1" x14ac:dyDescent="0.3">
      <c r="C32" s="11"/>
      <c r="D32" s="30">
        <f>SUMPRODUCT(LARGE((Input!D$11:D$985=1)*Input!Q$11:Q$985,9))</f>
        <v>0</v>
      </c>
      <c r="E32" s="35"/>
      <c r="F32" s="37"/>
      <c r="G32" s="32">
        <f>SUMPRODUCT(LARGE((Input!D$11:D$985=2)*Input!Q$11:Q$985,9))</f>
        <v>0</v>
      </c>
      <c r="H32" s="36"/>
      <c r="I32" s="37"/>
      <c r="J32" s="32">
        <f>SUMPRODUCT(LARGE((Input!D$11:D$985=3)*Input!Q$11:Q$985,9))</f>
        <v>0</v>
      </c>
      <c r="K32" s="36"/>
      <c r="L32" s="38"/>
      <c r="M32" s="34">
        <f>SUMPRODUCT(LARGE((Input!D$11:D$985=4)*Input!Q$11:Q$985,9))</f>
        <v>0</v>
      </c>
      <c r="N32" s="36"/>
      <c r="O32" s="37"/>
      <c r="P32" s="32">
        <f>SUMPRODUCT(LARGE((Input!D$11:D$985=5)*Input!Q$11:Q$985,9))</f>
        <v>0</v>
      </c>
      <c r="Q32" s="36"/>
      <c r="R32" s="37"/>
      <c r="S32" s="32">
        <f>SUMPRODUCT(LARGE((Input!D$11:D$985=6)*Input!Q$11:Q$985,9))</f>
        <v>0</v>
      </c>
      <c r="T32" s="36"/>
      <c r="U32" s="37"/>
      <c r="V32" s="32">
        <f>SUMPRODUCT(LARGE((Input!D$11:D$985=7)*Input!Q$11:Q$985,9))</f>
        <v>0</v>
      </c>
      <c r="W32" s="36"/>
      <c r="X32" s="37"/>
      <c r="Y32" s="32">
        <f>SUMPRODUCT(LARGE((Input!D$11:D$985=8)*Input!Q$11:Q$985,9))</f>
        <v>0</v>
      </c>
      <c r="Z32" s="36"/>
      <c r="AA32" s="37"/>
      <c r="AB32" s="32">
        <f>SUMPRODUCT(LARGE((Input!D$11:D$985=9)*Input!Q$11:Q$985,9))</f>
        <v>0</v>
      </c>
      <c r="AC32" s="36"/>
      <c r="AD32" s="37"/>
      <c r="AE32" s="32">
        <f>SUMPRODUCT(LARGE((Input!$D$11:$D$985=10)*Input!$Q$11:$Q$985,9))</f>
        <v>0</v>
      </c>
      <c r="AF32" s="36"/>
      <c r="AG32" s="314"/>
      <c r="AH32" s="34">
        <f>SUMPRODUCT(LARGE((Input!$D$11:$D$985=11)*Input!$Q$11:$Q$985,9))</f>
        <v>0</v>
      </c>
      <c r="AI32" s="347"/>
      <c r="AJ32" s="347"/>
      <c r="AK32" s="11"/>
      <c r="AL32" s="36"/>
      <c r="AM32" s="37"/>
      <c r="AN32" s="34">
        <f>SUMPRODUCT(LARGE((Input!$D$11:$D$985=12)*Input!$Q$11:$Q$985,9))</f>
        <v>0</v>
      </c>
      <c r="AO32" s="36"/>
      <c r="AP32" s="37"/>
      <c r="AQ32" s="34">
        <f>SUMPRODUCT(LARGE((Input!$D$11:$D$985=13)*Input!$Q$11:$Q$985,9))</f>
        <v>0</v>
      </c>
      <c r="AR32" s="36"/>
      <c r="AS32" s="37"/>
      <c r="AT32" s="34">
        <f>SUMPRODUCT(LARGE((Input!$D$11:$D$985=14)*Input!$Q$11:$Q$985,9))</f>
        <v>0</v>
      </c>
      <c r="AU32" s="36"/>
      <c r="AV32" s="37"/>
      <c r="AW32" s="34">
        <f>SUMPRODUCT(LARGE((Input!$D$11:$D$985=15)*Input!$Q$11:$Q$985,9))</f>
        <v>0</v>
      </c>
      <c r="AX32" s="36"/>
      <c r="AY32" s="37"/>
      <c r="AZ32" s="34">
        <f>SUMPRODUCT(LARGE((Input!$D$11:$D$985=16)*Input!$Q$11:$Q$985,9))</f>
        <v>0</v>
      </c>
      <c r="BA32" s="36"/>
      <c r="BB32" s="37"/>
      <c r="BC32" s="34">
        <f>SUMPRODUCT(LARGE((Input!$D$11:$D$985=17)*Input!$Q$11:$Q$985,9))</f>
        <v>0</v>
      </c>
      <c r="BD32" s="36"/>
      <c r="BE32" s="37"/>
      <c r="BF32" s="34">
        <f>SUMPRODUCT(LARGE((Input!$D$11:$D$985=18)*Input!$Q$11:$Q$985,9))</f>
        <v>0</v>
      </c>
      <c r="BG32" s="36"/>
      <c r="BH32" s="37"/>
      <c r="BI32" s="34">
        <f>SUMPRODUCT(LARGE((Input!$D$11:$D$985=19)*Input!$Q$11:$Q$985,9))</f>
        <v>0</v>
      </c>
      <c r="BJ32" s="36"/>
      <c r="BK32" s="37"/>
      <c r="BL32" s="34">
        <f>SUMPRODUCT(LARGE((Input!$D$11:$D$985=20)*Input!$Q$11:$Q$985,9))</f>
        <v>0</v>
      </c>
      <c r="BM32" s="36"/>
      <c r="BN32" s="39"/>
    </row>
    <row r="33" spans="1:66" ht="13.5" hidden="1" thickBot="1" x14ac:dyDescent="0.3">
      <c r="C33" s="11"/>
      <c r="D33" s="30">
        <f>SUMPRODUCT(LARGE((Input!D$11:D$985=1)*Input!Q$11:Q$985,10))</f>
        <v>0</v>
      </c>
      <c r="E33" s="40"/>
      <c r="F33" s="41"/>
      <c r="G33" s="32">
        <f>SUMPRODUCT(LARGE((Input!D$11:D$985=2)*Input!Q$11:Q$985,10))</f>
        <v>0</v>
      </c>
      <c r="H33" s="42"/>
      <c r="I33" s="41"/>
      <c r="J33" s="32">
        <f>SUMPRODUCT(LARGE((Input!D$11:D$985=3)*Input!Q$11:Q$985,10))</f>
        <v>0</v>
      </c>
      <c r="K33" s="42"/>
      <c r="L33" s="43"/>
      <c r="M33" s="34">
        <f>SUMPRODUCT(LARGE((Input!D$11:D$985=4)*Input!Q$11:Q$985,10))</f>
        <v>0</v>
      </c>
      <c r="N33" s="42"/>
      <c r="O33" s="41"/>
      <c r="P33" s="32">
        <f>SUMPRODUCT(LARGE((Input!D$11:D$985=5)*Input!Q$11:Q$985,10))</f>
        <v>0</v>
      </c>
      <c r="Q33" s="42"/>
      <c r="R33" s="41"/>
      <c r="S33" s="32">
        <f>SUMPRODUCT(LARGE((Input!D$11:D$985=6)*Input!Q$11:Q$985,10))</f>
        <v>0</v>
      </c>
      <c r="T33" s="42"/>
      <c r="U33" s="41"/>
      <c r="V33" s="32">
        <f>SUMPRODUCT(LARGE((Input!D$11:D$985=7)*Input!Q$11:Q$985,10))</f>
        <v>0</v>
      </c>
      <c r="W33" s="42"/>
      <c r="X33" s="41"/>
      <c r="Y33" s="32">
        <f>SUMPRODUCT(LARGE((Input!D$11:D$985=8)*Input!Q$11:Q$985,10))</f>
        <v>0</v>
      </c>
      <c r="Z33" s="42"/>
      <c r="AA33" s="41"/>
      <c r="AB33" s="32">
        <f>SUMPRODUCT(LARGE((Input!D$11:D$985=9)*Input!Q$11:Q$985,10))</f>
        <v>0</v>
      </c>
      <c r="AC33" s="42"/>
      <c r="AD33" s="41"/>
      <c r="AE33" s="32">
        <f>SUMPRODUCT(LARGE((Input!$D$11:$D$985=10)*Input!$Q$11:$Q$985,10))</f>
        <v>0</v>
      </c>
      <c r="AF33" s="42"/>
      <c r="AG33" s="44"/>
      <c r="AH33" s="34">
        <f>SUMPRODUCT(LARGE((Input!$D$11:$D$985=11)*Input!$Q$11:$Q$985,10))</f>
        <v>0</v>
      </c>
      <c r="AI33" s="347"/>
      <c r="AJ33" s="347"/>
      <c r="AK33" s="11"/>
      <c r="AL33" s="42"/>
      <c r="AM33" s="41"/>
      <c r="AN33" s="34">
        <f>SUMPRODUCT(LARGE((Input!$D$11:$D$985=12)*Input!$Q$11:$Q$985,10))</f>
        <v>0</v>
      </c>
      <c r="AO33" s="42"/>
      <c r="AP33" s="41"/>
      <c r="AQ33" s="34">
        <f>SUMPRODUCT(LARGE((Input!$D$11:$D$985=13)*Input!$Q$11:$Q$985,10))</f>
        <v>0</v>
      </c>
      <c r="AR33" s="42"/>
      <c r="AS33" s="41"/>
      <c r="AT33" s="34">
        <f>SUMPRODUCT(LARGE((Input!$D$11:$D$985=14)*Input!$Q$11:$Q$985,10))</f>
        <v>0</v>
      </c>
      <c r="AU33" s="42"/>
      <c r="AV33" s="41"/>
      <c r="AW33" s="34">
        <f>SUMPRODUCT(LARGE((Input!$D$11:$D$985=15)*Input!$Q$11:$Q$985,10))</f>
        <v>0</v>
      </c>
      <c r="AX33" s="42"/>
      <c r="AY33" s="41"/>
      <c r="AZ33" s="34">
        <f>SUMPRODUCT(LARGE((Input!$D$11:$D$985=16)*Input!$Q$11:$Q$985,10))</f>
        <v>0</v>
      </c>
      <c r="BA33" s="42"/>
      <c r="BB33" s="41"/>
      <c r="BC33" s="34">
        <f>SUMPRODUCT(LARGE((Input!$D$11:$D$985=17)*Input!$Q$11:$Q$985,10))</f>
        <v>0</v>
      </c>
      <c r="BD33" s="42"/>
      <c r="BE33" s="41"/>
      <c r="BF33" s="34">
        <f>SUMPRODUCT(LARGE((Input!$D$11:$D$985=18)*Input!$Q$11:$Q$985,10))</f>
        <v>0</v>
      </c>
      <c r="BG33" s="42"/>
      <c r="BH33" s="41"/>
      <c r="BI33" s="34">
        <f>SUMPRODUCT(LARGE((Input!$D$11:$D$985=19)*Input!$Q$11:$Q$985,10))</f>
        <v>0</v>
      </c>
      <c r="BJ33" s="42"/>
      <c r="BK33" s="41"/>
      <c r="BL33" s="34">
        <f>SUMPRODUCT(LARGE((Input!$D$11:$D$985=20)*Input!$Q$11:$Q$985,10))</f>
        <v>0</v>
      </c>
      <c r="BM33" s="42"/>
      <c r="BN33" s="44"/>
    </row>
    <row r="34" spans="1:66" ht="16" customHeight="1" thickBot="1" x14ac:dyDescent="0.3">
      <c r="C34" s="644" t="s">
        <v>33</v>
      </c>
      <c r="D34" s="45"/>
      <c r="E34" s="46" t="str">
        <f>IF(E35&gt;0,RANK(E35,($E35,$H35,$K35,$N35,$Q35,$T35,$W35,$Z35,$AC35,$AF35,$AL35,$AO35,$AR35,$AU35,$AX35,$BA35,$BD35,$BG35,$BJ35,$BM35),0)," ")</f>
        <v xml:space="preserve"> </v>
      </c>
      <c r="F34" s="647" t="str">
        <f>IF(E34&gt;0,IF(ISERROR(($C$1*2)-((E34-1)*2))," ",(($C$1*2)-((E34-1)*2))))</f>
        <v xml:space="preserve"> </v>
      </c>
      <c r="G34" s="47"/>
      <c r="H34" s="48" t="str">
        <f>IF(H35&gt;0,RANK(H35,($E35,$H35,$K35,$N35,$Q35,$T35,$W35,$Z35,$AC35,$AF35,$AL35,$AO35,$AR35,$AU35,$AX35,$BA35,$BD35,$BG35,$BJ35,$BM35),0)," ")</f>
        <v xml:space="preserve"> </v>
      </c>
      <c r="I34" s="647" t="str">
        <f>IF(H34&gt;0,IF(ISERROR(($C$1*2)-((H34-1)*2))," ",(($C$1*2)-((H34-1)*2))))</f>
        <v xml:space="preserve"> </v>
      </c>
      <c r="J34" s="47"/>
      <c r="K34" s="48" t="str">
        <f>IF(K35&gt;0,RANK(K35,($E35,$H35,$K35,$N35,$Q35,$T35,$W35,$Z35,$AC35,$AF35,$AL35,$AO35,$AR35,$AU35,$AX35,$BA35,$BD35,$BG35,$BJ35,$BM35),0)," ")</f>
        <v xml:space="preserve"> </v>
      </c>
      <c r="L34" s="673" t="str">
        <f>IF(K34&gt;0,IF(ISERROR(($C$1*2)-((K34-1)*2))," ",(($C$1*2)-((K34-1)*2))))</f>
        <v xml:space="preserve"> </v>
      </c>
      <c r="M34" s="49"/>
      <c r="N34" s="48" t="str">
        <f>IF(N35&gt;0,RANK(N35,($E35,$H35,$K35,$N35,$Q35,$T35,$W35,$Z35,$AC35,$AF35,$AL35,$AO35,$AR35,$AU35,$AX35,$BA35,$BD35,$BG35,$BJ35,$BM35),0)," ")</f>
        <v xml:space="preserve"> </v>
      </c>
      <c r="O34" s="647" t="str">
        <f>IF(N34&gt;0,IF(ISERROR(($C$1*2)-((N34-1)*2))," ",(($C$1*2)-((N34-1)*2))))</f>
        <v xml:space="preserve"> </v>
      </c>
      <c r="P34" s="47"/>
      <c r="Q34" s="48" t="str">
        <f>IF(Q35&gt;0,RANK(Q35,($E35,$H35,$K35,$N35,$Q35,$T35,$W35,$Z35,$AC35,$AF35,$AL35,$AO35,$AR35,$AU35,$AX35,$BA35,$BD35,$BG35,$BJ35,$BM35),0)," ")</f>
        <v xml:space="preserve"> </v>
      </c>
      <c r="R34" s="647" t="str">
        <f>IF(Q34&gt;0,IF(ISERROR(($C$1*2)-((Q34-1)*2))," ",(($C$1*2)-((Q34-1)*2))))</f>
        <v xml:space="preserve"> </v>
      </c>
      <c r="S34" s="47"/>
      <c r="T34" s="48" t="str">
        <f>IF(T35&gt;0,RANK(T35,($E35,$H35,$K35,$N35,$Q35,$T35,$W35,$Z35,$AC35,$AF35,$AL35,$AO35,$AR35,$AU35,$AX35,$BA35,$BD35,$BG35,$BJ35,$BM35),0)," ")</f>
        <v xml:space="preserve"> </v>
      </c>
      <c r="U34" s="647" t="str">
        <f>IF(T34&gt;0,IF(ISERROR(($C$1*2)-((T34-1)*2))," ",(($C$1*2)-((T34-1)*2))))</f>
        <v xml:space="preserve"> </v>
      </c>
      <c r="V34" s="47"/>
      <c r="W34" s="48" t="str">
        <f>IF(W35&gt;0,RANK(W35,($E35,$H35,$K35,$N35,$Q35,$T35,$W35,$Z35,$AC35,$AF35,$AL35,$AO35,$AR35,$AU35,$AX35,$BA35,$BD35,$BG35,$BJ35,$BM35),0)," ")</f>
        <v xml:space="preserve"> </v>
      </c>
      <c r="X34" s="647" t="str">
        <f>IF(W34&gt;0,IF(ISERROR(($C$1*2)-((W34-1)*2))," ",(($C$1*2)-((W34-1)*2))))</f>
        <v xml:space="preserve"> </v>
      </c>
      <c r="Y34" s="47"/>
      <c r="Z34" s="48" t="str">
        <f>IF(Z35&gt;0,RANK(Z35,($E35,$H35,$K35,$N35,$Q35,$T35,$W35,$Z35,$AC35,$AF35,$AL35,$AO35,$AR35,$AU35,$AX35,$BA35,$BD35,$BG35,$BJ35,$BM35),0)," ")</f>
        <v xml:space="preserve"> </v>
      </c>
      <c r="AA34" s="647" t="str">
        <f>IF(Z34&gt;0,IF(ISERROR(($C$1*2)-((Z34-1)*2))," ",(($C$1*2)-((Z34-1)*2))))</f>
        <v xml:space="preserve"> </v>
      </c>
      <c r="AB34" s="47"/>
      <c r="AC34" s="48" t="str">
        <f>IF(AC35&gt;0,RANK(AC35,($E35,$H35,$K35,$N35,$Q35,$T35,$W35,$Z35,$AC35,$AF35,$AL35,$AO35,$AR35,$AU35,$AX35,$BA35,$BD35,$BG35,$BJ35,$BM35),0)," ")</f>
        <v xml:space="preserve"> </v>
      </c>
      <c r="AD34" s="647" t="str">
        <f>IF(AC34&gt;0,IF(ISERROR(($C$1*2)-((AC34-1)*2))," ",(($C$1*2)-((AC34-1)*2))))</f>
        <v xml:space="preserve"> </v>
      </c>
      <c r="AE34" s="47"/>
      <c r="AF34" s="48" t="str">
        <f>IF(AF35&gt;0,RANK(AF35,($E35,$H35,$K35,$N35,$Q35,$T35,$W35,$Z35,$AC35,$AF35,$AL35,$AO35,$AR35,$AU35,$AX35,$BA35,$BD35,$BG35,$BJ35,$BM35),0)," ")</f>
        <v xml:space="preserve"> </v>
      </c>
      <c r="AG34" s="668" t="str">
        <f>IF(AF34&gt;0,IF(ISERROR(($C$1*2)-((AF34-1)*2))," ",(($C$1*2)-((AF34-1)*2))))</f>
        <v xml:space="preserve"> </v>
      </c>
      <c r="AH34" s="49"/>
      <c r="AI34" s="347"/>
      <c r="AJ34" s="347"/>
      <c r="AK34" s="644" t="s">
        <v>33</v>
      </c>
      <c r="AL34" s="48" t="str">
        <f>IF(AL35&gt;0,RANK(AL35,($E35,$H35,$K35,$N35,$Q35,$T35,$W35,$Z35,$AC35,$AF35,$AL35,$AO35,$AR35,$AU35,$AX35,$BA35,$BD35,$BG35,$BJ35,$BM35),0)," ")</f>
        <v xml:space="preserve"> </v>
      </c>
      <c r="AM34" s="647" t="str">
        <f>IF(AL34&gt;0,IF(ISERROR(($C$1*2)-((AL34-1)*2))," ",(($C$1*2)-((AL34-1)*2))))</f>
        <v xml:space="preserve"> </v>
      </c>
      <c r="AN34" s="49"/>
      <c r="AO34" s="48" t="str">
        <f>IF(AO35&gt;0,RANK(AO35,($E35,$H35,$K35,$N35,$Q35,$T35,$W35,$Z35,$AC35,$AF35,$AL35,$AO35,$AR35,$AU35,$AX35,$BA35,$BD35,$BG35,$BJ35,$BM35),0)," ")</f>
        <v xml:space="preserve"> </v>
      </c>
      <c r="AP34" s="647" t="str">
        <f>IF(AO34&gt;0,IF(ISERROR(($C$1*2)-((AO34-1)*2))," ",(($C$1*2)-((AO34-1)*2))))</f>
        <v xml:space="preserve"> </v>
      </c>
      <c r="AQ34" s="49"/>
      <c r="AR34" s="48" t="str">
        <f>IF(AR35&gt;0,RANK(AR35,($E35,$H35,$K35,$N35,$Q35,$T35,$W35,$Z35,$AC35,$AF35,$AL35,$AO35,$AR35,$AU35,$AX35,$BA35,$BD35,$BG35,$BJ35,$BM35),0)," ")</f>
        <v xml:space="preserve"> </v>
      </c>
      <c r="AS34" s="647" t="str">
        <f>IF(AR34&gt;0,IF(ISERROR(($C$1*2)-((AR34-1)*2))," ",(($C$1*2)-((AR34-1)*2))))</f>
        <v xml:space="preserve"> </v>
      </c>
      <c r="AT34" s="49"/>
      <c r="AU34" s="48" t="str">
        <f>IF(AU35&gt;0,RANK(AU35,($E35,$H35,$K35,$N35,$Q35,$T35,$W35,$Z35,$AC35,$AF35,$AL35,$AO35,$AR35,$AU35,$AX35,$BA35,$BD35,$BG35,$BJ35,$BM35),0)," ")</f>
        <v xml:space="preserve"> </v>
      </c>
      <c r="AV34" s="647" t="str">
        <f>IF(AU34&gt;0,IF(ISERROR(($C$1*2)-((AU34-1)*2))," ",(($C$1*2)-((AU34-1)*2))))</f>
        <v xml:space="preserve"> </v>
      </c>
      <c r="AW34" s="49"/>
      <c r="AX34" s="48" t="str">
        <f>IF(AX35&gt;0,RANK(AX35,($E35,$H35,$K35,$N35,$Q35,$T35,$W35,$Z35,$AC35,$AF35,$AL35,$AO35,$AR35,$AU35,$AX35,$BA35,$BD35,$BG35,$BJ35,$BM35),0)," ")</f>
        <v xml:space="preserve"> </v>
      </c>
      <c r="AY34" s="647" t="str">
        <f>IF(AX34&gt;0,IF(ISERROR(($C$1*2)-((AX34-1)*2))," ",(($C$1*2)-((AX34-1)*2))))</f>
        <v xml:space="preserve"> </v>
      </c>
      <c r="AZ34" s="49"/>
      <c r="BA34" s="48" t="str">
        <f>IF(BA35&gt;0,RANK(BA35,($E35,$H35,$K35,$N35,$Q35,$T35,$W35,$Z35,$AC35,$AF35,$AL35,$AO35,$AR35,$AU35,$AX35,$BA35,$BD35,$BG35,$BJ35,$BM35),0)," ")</f>
        <v xml:space="preserve"> </v>
      </c>
      <c r="BB34" s="647" t="str">
        <f>IF(BA34&gt;0,IF(ISERROR(($C$1*2)-((BA34-1)*2))," ",(($C$1*2)-((BA34-1)*2))))</f>
        <v xml:space="preserve"> </v>
      </c>
      <c r="BC34" s="49"/>
      <c r="BD34" s="48" t="str">
        <f>IF(BD35&gt;0,RANK(BD35,($E35,$H35,$K35,$N35,$Q35,$T35,$W35,$Z35,$AC35,$AF35,$AL35,$AO35,$AR35,$AU35,$AX35,$BA35,$BD35,$BG35,$BJ35,$BM35),0)," ")</f>
        <v xml:space="preserve"> </v>
      </c>
      <c r="BE34" s="647" t="str">
        <f>IF(BD34&gt;0,IF(ISERROR(($C$1*2)-((BD34-1)*2))," ",(($C$1*2)-((BD34-1)*2))))</f>
        <v xml:space="preserve"> </v>
      </c>
      <c r="BF34" s="49"/>
      <c r="BG34" s="48" t="str">
        <f>IF(BG35&gt;0,RANK(BG35,($E35,$H35,$K35,$N35,$Q35,$T35,$W35,$Z35,$AC35,$AF35,$AL35,$AO35,$AR35,$AU35,$AX35,$BA35,$BD35,$BG35,$BJ35,$BM35),0)," ")</f>
        <v xml:space="preserve"> </v>
      </c>
      <c r="BH34" s="647" t="str">
        <f>IF(BG34&gt;0,IF(ISERROR(($C$1*2)-((BG34-1)*2))," ",(($C$1*2)-((BG34-1)*2))))</f>
        <v xml:space="preserve"> </v>
      </c>
      <c r="BI34" s="49"/>
      <c r="BJ34" s="48" t="str">
        <f>IF(BJ35&gt;0,RANK(BJ35,($E35,$H35,$K35,$N35,$Q35,$T35,$W35,$Z35,$AC35,$AF35,$AL35,$AO35,$AR35,$AU35,$AX35,$BA35,$BD35,$BG35,$BJ35,$BM35),0)," ")</f>
        <v xml:space="preserve"> </v>
      </c>
      <c r="BK34" s="647" t="str">
        <f>IF(BJ34&gt;0,IF(ISERROR(($C$1*2)-((BJ34-1)*2))," ",(($C$1*2)-((BJ34-1)*2))))</f>
        <v xml:space="preserve"> </v>
      </c>
      <c r="BL34" s="49"/>
      <c r="BM34" s="48" t="str">
        <f>IF(BM35&gt;0,RANK(BM35,($E35,$H35,$K35,$N35,$Q35,$T35,$W35,$Z35,$AC35,$AF35,$AL35,$AO35,$AR35,$AU35,$AX35,$BA35,$BD35,$BG35,$BJ35,$BM35),0)," ")</f>
        <v xml:space="preserve"> </v>
      </c>
      <c r="BN34" s="668" t="str">
        <f>IF(BM34&gt;0,IF(ISERROR(($C$1*2)-((BM34-1)*2))," ",(($C$1*2)-((BM34-1)*2))))</f>
        <v xml:space="preserve"> </v>
      </c>
    </row>
    <row r="35" spans="1:66" ht="16" customHeight="1" thickBot="1" x14ac:dyDescent="0.3">
      <c r="C35" s="644"/>
      <c r="D35" s="50">
        <f>SUMPRODUCT(LARGE((Input!D$11:D$985=1)*Input!R$11:R$985,1))</f>
        <v>0</v>
      </c>
      <c r="E35" s="51">
        <f>IF($A$1=4,SUM(D35:D38),IF($A$1=5,SUM(D35:D39),IF($A$1=6,SUM(D35:D40),IF($A$1=7,SUM(D35:D41),IF($A$1=8,SUM(D35:D42),IF($A$1=9,SUM(D35:D43),IF($A$1=10,SUM(D35:D44))))))))</f>
        <v>0</v>
      </c>
      <c r="F35" s="648"/>
      <c r="G35" s="52">
        <f>SUMPRODUCT(LARGE((Input!D$11:D$985=2)*Input!R$11:R$985,1))</f>
        <v>0</v>
      </c>
      <c r="H35" s="53">
        <f>IF($A$1=4,SUM(G35:G38),IF($A$1=5,SUM(G35:G39),IF($A$1=6,SUM(G35:G40),IF($A$1=7,SUM(G35:G41),IF($A$1=8,SUM(G35:G42),IF($A$1=9,SUM(G35:G43),IF($A$1=10,SUM(G35:G44))))))))</f>
        <v>0</v>
      </c>
      <c r="I35" s="648"/>
      <c r="J35" s="52">
        <f>SUMPRODUCT(LARGE((Input!D$11:D$985=3)*Input!R$11:R$985,1))</f>
        <v>0</v>
      </c>
      <c r="K35" s="53">
        <f>IF($A$1=4,SUM(J35:J38),IF($A$1=5,SUM(J35:J39),IF($A$1=6,SUM(J35:J40),IF($A$1=7,SUM(J35:J41),IF($A$1=8,SUM(J35:J42),IF($A$1=9,SUM(J35:J43),IF($A$1=10,SUM(J35:J44))))))))</f>
        <v>0</v>
      </c>
      <c r="L35" s="674"/>
      <c r="M35" s="54">
        <f>SUMPRODUCT(LARGE((Input!D$11:D$985=4)*Input!R$11:R$985,1))</f>
        <v>0</v>
      </c>
      <c r="N35" s="53">
        <f>IF($A$1=4,SUM(M35:M38),IF($A$1=5,SUM(M35:M39),IF($A$1=6,SUM(M35:M40),IF($A$1=7,SUM(M35:M41),IF($A$1=8,SUM(M35:M42),IF($A$1=9,SUM(M35:M43),IF($A$1=10,SUM(M35:M44))))))))</f>
        <v>0</v>
      </c>
      <c r="O35" s="648"/>
      <c r="P35" s="52">
        <f>SUMPRODUCT(LARGE((Input!D$11:D$985=5)*Input!R$11:R$985,1))</f>
        <v>0</v>
      </c>
      <c r="Q35" s="53">
        <f>IF($A$1=4,SUM(P35:P38),IF($A$1=5,SUM(P35:P39),IF($A$1=6,SUM(P35:P40),IF($A$1=7,SUM(P35:P41),IF($A$1=8,SUM(P35:P42),IF($A$1=9,SUM(P35:P43),IF($A$1=10,SUM(P35:P44))))))))</f>
        <v>0</v>
      </c>
      <c r="R35" s="648"/>
      <c r="S35" s="52">
        <f>SUMPRODUCT(LARGE((Input!D$11:D$985=6)*Input!R$11:R$985,1))</f>
        <v>0</v>
      </c>
      <c r="T35" s="53">
        <f>IF($A$1=4,SUM(S35:S38),IF($A$1=5,SUM(S35:S39),IF($A$1=6,SUM(S35:S40),IF($A$1=7,SUM(S35:S41),IF($A$1=8,SUM(S35:S42),IF($A$1=9,SUM(S35:S43),IF($A$1=10,SUM(S35:S44))))))))</f>
        <v>0</v>
      </c>
      <c r="U35" s="648"/>
      <c r="V35" s="52">
        <f>SUMPRODUCT(LARGE((Input!D$11:D$985=7)*Input!R$11:R$985,1))</f>
        <v>0</v>
      </c>
      <c r="W35" s="53">
        <f>IF($A$1=4,SUM(V35:V38),IF($A$1=5,SUM(V35:V39),IF($A$1=6,SUM(V35:V40),IF($A$1=7,SUM(V35:V41),IF($A$1=8,SUM(V35:V42),IF($A$1=9,SUM(V35:V43),IF($A$1=10,SUM(V35:V44))))))))</f>
        <v>0</v>
      </c>
      <c r="X35" s="648"/>
      <c r="Y35" s="52">
        <f>SUMPRODUCT(LARGE((Input!D$11:D$985=8)*Input!R$11:R$985,1))</f>
        <v>0</v>
      </c>
      <c r="Z35" s="53">
        <f>IF($A$1=4,SUM(Y35:Y38),IF($A$1=5,SUM(Y35:Y39),IF($A$1=6,SUM(Y35:Y40),IF($A$1=7,SUM(Y35:Y41),IF($A$1=8,SUM(Y35:Y42),IF($A$1=9,SUM(Y35:Y43),IF($A$1=10,SUM(Y35:Y44))))))))</f>
        <v>0</v>
      </c>
      <c r="AA35" s="648"/>
      <c r="AB35" s="52">
        <f>SUMPRODUCT(LARGE((Input!D$11:D$985=9)*Input!R$11:R$985,1))</f>
        <v>0</v>
      </c>
      <c r="AC35" s="53">
        <f>IF($A$1=4,SUM(AB35:AB38),IF($A$1=5,SUM(AB35:AB39),IF($A$1=6,SUM(AB35:AB40),IF($A$1=7,SUM(AB35:AB41),IF($A$1=8,SUM(AB35:AB42),IF($A$1=9,SUM(AB35:AB43),IF($A$1=10,SUM(AB35:AB44))))))))</f>
        <v>0</v>
      </c>
      <c r="AD35" s="648"/>
      <c r="AE35" s="52">
        <f>SUMPRODUCT(LARGE((Input!$D$11:$D$985=10)*Input!$R$11:$R$985,1))</f>
        <v>0</v>
      </c>
      <c r="AF35" s="53">
        <f>IF($A$1=4,SUM(AE35:AE38),IF($A$1=5,SUM(AE35:AE39),IF($A$1=6,SUM(AE35:AE40),IF($A$1=7,SUM(AE35:AE41),IF($A$1=8,SUM(AE35:AE42),IF($A$1=9,SUM(AE35:AE43),IF($A$1=10,SUM(AE35:AE44))))))))</f>
        <v>0</v>
      </c>
      <c r="AG35" s="669"/>
      <c r="AH35" s="54">
        <f>SUMPRODUCT(LARGE((Input!$D$11:$D$985=11)*Input!$R$11:$R$985,1))</f>
        <v>0</v>
      </c>
      <c r="AI35" s="347"/>
      <c r="AJ35" s="347"/>
      <c r="AK35" s="644"/>
      <c r="AL35" s="53">
        <f>IF($A$1=4,SUM(AH35:AH38),IF($A$1=5,SUM(AH35:AH39),IF($A$1=6,SUM(AH35:AH40),IF($A$1=7,SUM(AH35:AH41),IF($A$1=8,SUM(AH35:AH42),IF($A$1=9,SUM(AH35:AH43),IF($A$1=10,SUM(AH35:AH44))))))))</f>
        <v>0</v>
      </c>
      <c r="AM35" s="648"/>
      <c r="AN35" s="54">
        <f>SUMPRODUCT(LARGE((Input!$D$11:$D$985=12)*Input!$R$11:$R$985,1))</f>
        <v>0</v>
      </c>
      <c r="AO35" s="53">
        <f>IF($A$1=4,SUM(AN35:AN38),IF($A$1=5,SUM(AN35:AN39),IF($A$1=6,SUM(AN35:AN40),IF($A$1=7,SUM(AN35:AN41),IF($A$1=8,SUM(AN35:AN42),IF($A$1=9,SUM(AN35:AN43),IF($A$1=10,SUM(AN35:AN44))))))))</f>
        <v>0</v>
      </c>
      <c r="AP35" s="648"/>
      <c r="AQ35" s="54">
        <f>SUMPRODUCT(LARGE((Input!$D$11:$D$985=13)*Input!$R$11:$R$985,1))</f>
        <v>0</v>
      </c>
      <c r="AR35" s="53">
        <f>IF($A$1=4,SUM(AQ35:AQ38),IF($A$1=5,SUM(AQ35:AQ39),IF($A$1=6,SUM(AQ35:AQ40),IF($A$1=7,SUM(AQ35:AQ41),IF($A$1=8,SUM(AQ35:AQ42),IF($A$1=9,SUM(AQ35:AQ43),IF($A$1=10,SUM(AQ35:AQ44))))))))</f>
        <v>0</v>
      </c>
      <c r="AS35" s="648"/>
      <c r="AT35" s="54">
        <f>SUMPRODUCT(LARGE((Input!$D$11:$D$985=14)*Input!$R$11:$R$985,1))</f>
        <v>0</v>
      </c>
      <c r="AU35" s="53">
        <f>IF($A$1=4,SUM(AT35:AT38),IF($A$1=5,SUM(AT35:AT39),IF($A$1=6,SUM(AT35:AT40),IF($A$1=7,SUM(AT35:AT41),IF($A$1=8,SUM(AT35:AT42),IF($A$1=9,SUM(AT35:AT43),IF($A$1=10,SUM(AT35:AT44))))))))</f>
        <v>0</v>
      </c>
      <c r="AV35" s="648"/>
      <c r="AW35" s="54">
        <f>SUMPRODUCT(LARGE((Input!$D$11:$D$985=15)*Input!$R$11:$R$985,1))</f>
        <v>0</v>
      </c>
      <c r="AX35" s="53">
        <f>IF($A$1=4,SUM(AW35:AW38),IF($A$1=5,SUM(AW35:AW39),IF($A$1=6,SUM(AW35:AW40),IF($A$1=7,SUM(AW35:AW41),IF($A$1=8,SUM(AW35:AW42),IF($A$1=9,SUM(AW35:AW43),IF($A$1=10,SUM(AW35:AW44))))))))</f>
        <v>0</v>
      </c>
      <c r="AY35" s="648"/>
      <c r="AZ35" s="54">
        <f>SUMPRODUCT(LARGE((Input!$D$11:$D$985=16)*Input!$R$11:$R$985,1))</f>
        <v>0</v>
      </c>
      <c r="BA35" s="53">
        <f>IF($A$1=4,SUM(AZ35:AZ38),IF($A$1=5,SUM(AZ35:AZ39),IF($A$1=6,SUM(AZ35:AZ40),IF($A$1=7,SUM(AZ35:AZ41),IF($A$1=8,SUM(AZ35:AZ42),IF($A$1=9,SUM(AZ35:AZ43),IF($A$1=10,SUM(AZ35:AZ44))))))))</f>
        <v>0</v>
      </c>
      <c r="BB35" s="648"/>
      <c r="BC35" s="54">
        <f>SUMPRODUCT(LARGE((Input!$D$11:$D$985=17)*Input!$R$11:$R$985,1))</f>
        <v>0</v>
      </c>
      <c r="BD35" s="53">
        <f>IF($A$1=4,SUM(BC35:BC38),IF($A$1=5,SUM(BC35:BC39),IF($A$1=6,SUM(BC35:BC40),IF($A$1=7,SUM(BC35:BC41),IF($A$1=8,SUM(BC35:BC42),IF($A$1=9,SUM(BC35:BC43),IF($A$1=10,SUM(BC35:BC44))))))))</f>
        <v>0</v>
      </c>
      <c r="BE35" s="648"/>
      <c r="BF35" s="54">
        <f>SUMPRODUCT(LARGE((Input!$D$11:$D$985=18)*Input!$R$11:$R$985,1))</f>
        <v>0</v>
      </c>
      <c r="BG35" s="53">
        <f>IF($A$1=4,SUM(BF35:BF38),IF($A$1=5,SUM(BF35:BF39),IF($A$1=6,SUM(BF35:BF40),IF($A$1=7,SUM(BF35:BF41),IF($A$1=8,SUM(BF35:BF42),IF($A$1=9,SUM(BF35:BF43),IF($A$1=10,SUM(BF35:BF44))))))))</f>
        <v>0</v>
      </c>
      <c r="BH35" s="648"/>
      <c r="BI35" s="54">
        <f>SUMPRODUCT(LARGE((Input!$D$11:$D$985=19)*Input!$R$11:$R$985,1))</f>
        <v>0</v>
      </c>
      <c r="BJ35" s="53">
        <f>IF($A$1=4,SUM(BI35:BI38),IF($A$1=5,SUM(BI35:BI39),IF($A$1=6,SUM(BI35:BI40),IF($A$1=7,SUM(BI35:BI41),IF($A$1=8,SUM(BI35:BI42),IF($A$1=9,SUM(BI35:BI43),IF($A$1=10,SUM(BI35:BI44))))))))</f>
        <v>0</v>
      </c>
      <c r="BK35" s="648"/>
      <c r="BL35" s="54">
        <f>SUMPRODUCT(LARGE((Input!$D$11:$D$985=20)*Input!$R$11:$R$985,1))</f>
        <v>0</v>
      </c>
      <c r="BM35" s="53">
        <f>IF($A$1=4,SUM(BL35:BL38),IF($A$1=5,SUM(BL35:BL39),IF($A$1=6,SUM(BL35:BL40),IF($A$1=7,SUM(BL35:BL41),IF($A$1=8,SUM(BL35:BL42),IF($A$1=9,SUM(BL35:BL43),IF($A$1=10,SUM(BL35:BL44))))))))</f>
        <v>0</v>
      </c>
      <c r="BN35" s="669"/>
    </row>
    <row r="36" spans="1:66" ht="13.5" hidden="1" thickBot="1" x14ac:dyDescent="0.3">
      <c r="C36" s="11"/>
      <c r="D36" s="30">
        <f>SUMPRODUCT(LARGE((Input!D$11:D$985=1)*Input!R$11:R$985,2))</f>
        <v>0</v>
      </c>
      <c r="E36" s="31"/>
      <c r="F36" s="55"/>
      <c r="G36" s="32">
        <f>SUMPRODUCT(LARGE((Input!D$11:D$985=2)*Input!R$11:R$985,2))</f>
        <v>0</v>
      </c>
      <c r="H36" s="33"/>
      <c r="I36" s="55"/>
      <c r="J36" s="32">
        <f>SUMPRODUCT(LARGE((Input!D$11:D$985=3)*Input!R$11:R$985,2))</f>
        <v>0</v>
      </c>
      <c r="K36" s="33"/>
      <c r="L36" s="56"/>
      <c r="M36" s="34">
        <f>SUMPRODUCT(LARGE((Input!D$11:D$985=4)*Input!R$11:R$985,2))</f>
        <v>0</v>
      </c>
      <c r="N36" s="33"/>
      <c r="O36" s="55"/>
      <c r="P36" s="32">
        <f>SUMPRODUCT(LARGE((Input!D$11:D$985=5)*Input!R$11:R$985,2))</f>
        <v>0</v>
      </c>
      <c r="Q36" s="33"/>
      <c r="R36" s="55"/>
      <c r="S36" s="32">
        <f>SUMPRODUCT(LARGE((Input!D$11:D$985=6)*Input!R$11:R$985,2))</f>
        <v>0</v>
      </c>
      <c r="T36" s="33"/>
      <c r="U36" s="55"/>
      <c r="V36" s="32">
        <f>SUMPRODUCT(LARGE((Input!D$11:D$985=7)*Input!R$11:R$985,2))</f>
        <v>0</v>
      </c>
      <c r="W36" s="33"/>
      <c r="X36" s="55"/>
      <c r="Y36" s="32">
        <f>SUMPRODUCT(LARGE((Input!D$11:D$985=8)*Input!R$11:R$985,2))</f>
        <v>0</v>
      </c>
      <c r="Z36" s="33"/>
      <c r="AA36" s="55"/>
      <c r="AB36" s="32">
        <f>SUMPRODUCT(LARGE((Input!D$11:D$985=9)*Input!R$11:R$985,2))</f>
        <v>0</v>
      </c>
      <c r="AC36" s="33"/>
      <c r="AD36" s="55"/>
      <c r="AE36" s="32">
        <f>SUMPRODUCT(LARGE((Input!$D$11:$D$985=10)*Input!$R$11:$R$985,2))</f>
        <v>0</v>
      </c>
      <c r="AF36" s="33"/>
      <c r="AG36" s="57"/>
      <c r="AH36" s="34">
        <f>SUMPRODUCT(LARGE((Input!$D$11:$D$985=11)*Input!$R$11:$R$985,2))</f>
        <v>0</v>
      </c>
      <c r="AI36" s="347"/>
      <c r="AJ36" s="347"/>
      <c r="AK36" s="11"/>
      <c r="AL36" s="33"/>
      <c r="AM36" s="55"/>
      <c r="AN36" s="34">
        <f>SUMPRODUCT(LARGE((Input!$D$11:$D$985=12)*Input!$R$11:$R$985,2))</f>
        <v>0</v>
      </c>
      <c r="AO36" s="33"/>
      <c r="AP36" s="55"/>
      <c r="AQ36" s="34">
        <f>SUMPRODUCT(LARGE((Input!$D$11:$D$985=13)*Input!$R$11:$R$985,2))</f>
        <v>0</v>
      </c>
      <c r="AR36" s="33"/>
      <c r="AS36" s="55"/>
      <c r="AT36" s="34">
        <f>SUMPRODUCT(LARGE((Input!$D$11:$D$985=14)*Input!$R$11:$R$985,2))</f>
        <v>0</v>
      </c>
      <c r="AU36" s="33"/>
      <c r="AV36" s="55"/>
      <c r="AW36" s="34">
        <f>SUMPRODUCT(LARGE((Input!$D$11:$D$985=15)*Input!$R$11:$R$985,2))</f>
        <v>0</v>
      </c>
      <c r="AX36" s="33"/>
      <c r="AY36" s="55"/>
      <c r="AZ36" s="34">
        <f>SUMPRODUCT(LARGE((Input!$D$11:$D$985=16)*Input!$R$11:$R$985,2))</f>
        <v>0</v>
      </c>
      <c r="BA36" s="33"/>
      <c r="BB36" s="55"/>
      <c r="BC36" s="34">
        <f>SUMPRODUCT(LARGE((Input!$D$11:$D$985=17)*Input!$R$11:$R$985,2))</f>
        <v>0</v>
      </c>
      <c r="BD36" s="33"/>
      <c r="BE36" s="55"/>
      <c r="BF36" s="34">
        <f>SUMPRODUCT(LARGE((Input!$D$11:$D$985=18)*Input!$R$11:$R$985,2))</f>
        <v>0</v>
      </c>
      <c r="BG36" s="33"/>
      <c r="BH36" s="55"/>
      <c r="BI36" s="34">
        <f>SUMPRODUCT(LARGE((Input!$D$11:$D$985=19)*Input!$R$11:$R$985,2))</f>
        <v>0</v>
      </c>
      <c r="BJ36" s="33"/>
      <c r="BK36" s="55"/>
      <c r="BL36" s="34">
        <f>SUMPRODUCT(LARGE((Input!$D$11:$D$985=20)*Input!$R$11:$R$985,2))</f>
        <v>0</v>
      </c>
      <c r="BM36" s="33"/>
      <c r="BN36" s="57"/>
    </row>
    <row r="37" spans="1:66" ht="13.5" hidden="1" thickBot="1" x14ac:dyDescent="0.3">
      <c r="C37" s="11"/>
      <c r="D37" s="30">
        <f>SUMPRODUCT(LARGE((Input!D$11:D$985=1)*Input!R$11:R$985,3))</f>
        <v>0</v>
      </c>
      <c r="E37" s="35"/>
      <c r="F37" s="37"/>
      <c r="G37" s="32">
        <f>SUMPRODUCT(LARGE((Input!D$11:D$985=2)*Input!R$11:R$985,3))</f>
        <v>0</v>
      </c>
      <c r="H37" s="36"/>
      <c r="I37" s="37"/>
      <c r="J37" s="32">
        <f>SUMPRODUCT(LARGE((Input!D$11:D$985=3)*Input!R$11:R$985,3))</f>
        <v>0</v>
      </c>
      <c r="K37" s="36"/>
      <c r="L37" s="38"/>
      <c r="M37" s="34">
        <f>SUMPRODUCT(LARGE((Input!D$11:D$985=4)*Input!R$11:R$985,3))</f>
        <v>0</v>
      </c>
      <c r="N37" s="36"/>
      <c r="O37" s="37"/>
      <c r="P37" s="32">
        <f>SUMPRODUCT(LARGE((Input!D$11:D$985=5)*Input!R$11:R$985,3))</f>
        <v>0</v>
      </c>
      <c r="Q37" s="36"/>
      <c r="R37" s="37"/>
      <c r="S37" s="32">
        <f>SUMPRODUCT(LARGE((Input!D$11:D$985=6)*Input!R$11:R$985,3))</f>
        <v>0</v>
      </c>
      <c r="T37" s="36"/>
      <c r="U37" s="37"/>
      <c r="V37" s="32">
        <f>SUMPRODUCT(LARGE((Input!D$11:D$985=7)*Input!R$11:R$985,3))</f>
        <v>0</v>
      </c>
      <c r="W37" s="36"/>
      <c r="X37" s="37"/>
      <c r="Y37" s="32">
        <f>SUMPRODUCT(LARGE((Input!D$11:D$985=8)*Input!R$11:R$985,3))</f>
        <v>0</v>
      </c>
      <c r="Z37" s="36"/>
      <c r="AA37" s="37"/>
      <c r="AB37" s="32">
        <f>SUMPRODUCT(LARGE((Input!D$11:D$985=9)*Input!R$11:R$985,3))</f>
        <v>0</v>
      </c>
      <c r="AC37" s="36"/>
      <c r="AD37" s="37"/>
      <c r="AE37" s="32">
        <f>SUMPRODUCT(LARGE((Input!$D$11:$D$985=10)*Input!$R$11:$R$985,3))</f>
        <v>0</v>
      </c>
      <c r="AF37" s="36"/>
      <c r="AG37" s="314"/>
      <c r="AH37" s="34">
        <f>SUMPRODUCT(LARGE((Input!$D$11:$D$985=11)*Input!$R$11:$R$985,3))</f>
        <v>0</v>
      </c>
      <c r="AI37" s="347"/>
      <c r="AJ37" s="347"/>
      <c r="AK37" s="11"/>
      <c r="AL37" s="36"/>
      <c r="AM37" s="37"/>
      <c r="AN37" s="34">
        <f>SUMPRODUCT(LARGE((Input!$D$11:$D$985=12)*Input!$R$11:$R$985,3))</f>
        <v>0</v>
      </c>
      <c r="AO37" s="36"/>
      <c r="AP37" s="37"/>
      <c r="AQ37" s="34">
        <f>SUMPRODUCT(LARGE((Input!$D$11:$D$985=13)*Input!$R$11:$R$985,3))</f>
        <v>0</v>
      </c>
      <c r="AR37" s="36"/>
      <c r="AS37" s="37"/>
      <c r="AT37" s="34">
        <f>SUMPRODUCT(LARGE((Input!$D$11:$D$985=14)*Input!$R$11:$R$985,3))</f>
        <v>0</v>
      </c>
      <c r="AU37" s="36"/>
      <c r="AV37" s="37"/>
      <c r="AW37" s="34">
        <f>SUMPRODUCT(LARGE((Input!$D$11:$D$985=15)*Input!$R$11:$R$985,3))</f>
        <v>0</v>
      </c>
      <c r="AX37" s="36"/>
      <c r="AY37" s="37"/>
      <c r="AZ37" s="34">
        <f>SUMPRODUCT(LARGE((Input!$D$11:$D$985=16)*Input!$R$11:$R$985,3))</f>
        <v>0</v>
      </c>
      <c r="BA37" s="36"/>
      <c r="BB37" s="37"/>
      <c r="BC37" s="34">
        <f>SUMPRODUCT(LARGE((Input!$D$11:$D$985=17)*Input!$R$11:$R$985,3))</f>
        <v>0</v>
      </c>
      <c r="BD37" s="36"/>
      <c r="BE37" s="37"/>
      <c r="BF37" s="34">
        <f>SUMPRODUCT(LARGE((Input!$D$11:$D$985=18)*Input!$R$11:$R$985,3))</f>
        <v>0</v>
      </c>
      <c r="BG37" s="36"/>
      <c r="BH37" s="37"/>
      <c r="BI37" s="34">
        <f>SUMPRODUCT(LARGE((Input!$D$11:$D$985=19)*Input!$R$11:$R$985,3))</f>
        <v>0</v>
      </c>
      <c r="BJ37" s="36"/>
      <c r="BK37" s="37"/>
      <c r="BL37" s="34">
        <f>SUMPRODUCT(LARGE((Input!$D$11:$D$985=20)*Input!$R$11:$R$985,3))</f>
        <v>0</v>
      </c>
      <c r="BM37" s="36"/>
      <c r="BN37" s="39"/>
    </row>
    <row r="38" spans="1:66" ht="13.5" hidden="1" thickBot="1" x14ac:dyDescent="0.3">
      <c r="C38" s="11"/>
      <c r="D38" s="30">
        <f>SUMPRODUCT(LARGE((Input!D$11:D$985=1)*Input!R$11:R$985,4))</f>
        <v>0</v>
      </c>
      <c r="E38" s="35"/>
      <c r="F38" s="37"/>
      <c r="G38" s="32">
        <f>SUMPRODUCT(LARGE((Input!D$11:D$985=2)*Input!R$11:R$985,4))</f>
        <v>0</v>
      </c>
      <c r="H38" s="36"/>
      <c r="I38" s="37"/>
      <c r="J38" s="32">
        <f>SUMPRODUCT(LARGE((Input!D$11:D$985=3)*Input!R$11:R$985,4))</f>
        <v>0</v>
      </c>
      <c r="K38" s="36"/>
      <c r="L38" s="38"/>
      <c r="M38" s="34">
        <f>SUMPRODUCT(LARGE((Input!D$11:D$985=4)*Input!R$11:R$985,4))</f>
        <v>0</v>
      </c>
      <c r="N38" s="36"/>
      <c r="O38" s="37"/>
      <c r="P38" s="32">
        <f>SUMPRODUCT(LARGE((Input!D$11:D$985=5)*Input!R$11:R$985,4))</f>
        <v>0</v>
      </c>
      <c r="Q38" s="36"/>
      <c r="R38" s="37"/>
      <c r="S38" s="32">
        <f>SUMPRODUCT(LARGE((Input!D$11:D$985=6)*Input!R$11:R$985,4))</f>
        <v>0</v>
      </c>
      <c r="T38" s="36"/>
      <c r="U38" s="37"/>
      <c r="V38" s="32">
        <f>SUMPRODUCT(LARGE((Input!D$11:D$985=7)*Input!R$11:R$985,4))</f>
        <v>0</v>
      </c>
      <c r="W38" s="36"/>
      <c r="X38" s="37"/>
      <c r="Y38" s="32">
        <f>SUMPRODUCT(LARGE((Input!D$11:D$985=8)*Input!R$11:R$985,4))</f>
        <v>0</v>
      </c>
      <c r="Z38" s="36"/>
      <c r="AA38" s="37"/>
      <c r="AB38" s="32">
        <f>SUMPRODUCT(LARGE((Input!D$11:D$985=9)*Input!R$11:R$985,4))</f>
        <v>0</v>
      </c>
      <c r="AC38" s="36"/>
      <c r="AD38" s="37"/>
      <c r="AE38" s="32">
        <f>SUMPRODUCT(LARGE((Input!$D$11:$D$985=10)*Input!$R$11:$R$985,4))</f>
        <v>0</v>
      </c>
      <c r="AF38" s="36"/>
      <c r="AG38" s="314"/>
      <c r="AH38" s="34">
        <f>SUMPRODUCT(LARGE((Input!$D$11:$D$985=11)*Input!$R$11:$R$985,4))</f>
        <v>0</v>
      </c>
      <c r="AI38" s="347"/>
      <c r="AJ38" s="347"/>
      <c r="AK38" s="11"/>
      <c r="AL38" s="36"/>
      <c r="AM38" s="37"/>
      <c r="AN38" s="34">
        <f>SUMPRODUCT(LARGE((Input!$D$11:$D$985=12)*Input!$R$11:$R$985,4))</f>
        <v>0</v>
      </c>
      <c r="AO38" s="36"/>
      <c r="AP38" s="37"/>
      <c r="AQ38" s="34">
        <f>SUMPRODUCT(LARGE((Input!$D$11:$D$985=13)*Input!$R$11:$R$985,4))</f>
        <v>0</v>
      </c>
      <c r="AR38" s="36"/>
      <c r="AS38" s="37"/>
      <c r="AT38" s="34">
        <f>SUMPRODUCT(LARGE((Input!$D$11:$D$985=14)*Input!$R$11:$R$985,4))</f>
        <v>0</v>
      </c>
      <c r="AU38" s="36"/>
      <c r="AV38" s="37"/>
      <c r="AW38" s="34">
        <f>SUMPRODUCT(LARGE((Input!$D$11:$D$985=15)*Input!$R$11:$R$985,4))</f>
        <v>0</v>
      </c>
      <c r="AX38" s="36"/>
      <c r="AY38" s="37"/>
      <c r="AZ38" s="34">
        <f>SUMPRODUCT(LARGE((Input!$D$11:$D$985=16)*Input!$R$11:$R$985,4))</f>
        <v>0</v>
      </c>
      <c r="BA38" s="36"/>
      <c r="BB38" s="37"/>
      <c r="BC38" s="34">
        <f>SUMPRODUCT(LARGE((Input!$D$11:$D$985=17)*Input!$R$11:$R$985,4))</f>
        <v>0</v>
      </c>
      <c r="BD38" s="36"/>
      <c r="BE38" s="37"/>
      <c r="BF38" s="34">
        <f>SUMPRODUCT(LARGE((Input!$D$11:$D$985=18)*Input!$R$11:$R$985,4))</f>
        <v>0</v>
      </c>
      <c r="BG38" s="36"/>
      <c r="BH38" s="37"/>
      <c r="BI38" s="34">
        <f>SUMPRODUCT(LARGE((Input!$D$11:$D$985=19)*Input!$R$11:$R$985,4))</f>
        <v>0</v>
      </c>
      <c r="BJ38" s="36"/>
      <c r="BK38" s="37"/>
      <c r="BL38" s="34">
        <f>SUMPRODUCT(LARGE((Input!$D$11:$D$985=20)*Input!$R$11:$R$985,4))</f>
        <v>0</v>
      </c>
      <c r="BM38" s="36"/>
      <c r="BN38" s="39"/>
    </row>
    <row r="39" spans="1:66" ht="13.5" hidden="1" thickBot="1" x14ac:dyDescent="0.3">
      <c r="C39" s="11"/>
      <c r="D39" s="30">
        <f>SUMPRODUCT(LARGE((Input!D$11:D$985=1)*Input!R$11:R$985,5))</f>
        <v>0</v>
      </c>
      <c r="E39" s="35"/>
      <c r="F39" s="37"/>
      <c r="G39" s="32">
        <f>SUMPRODUCT(LARGE((Input!D$11:D$985=2)*Input!R$11:R$985,5))</f>
        <v>0</v>
      </c>
      <c r="H39" s="36"/>
      <c r="I39" s="37"/>
      <c r="J39" s="32">
        <f>SUMPRODUCT(LARGE((Input!D$11:D$985=3)*Input!R$11:R$985,5))</f>
        <v>0</v>
      </c>
      <c r="K39" s="36"/>
      <c r="L39" s="38"/>
      <c r="M39" s="34">
        <f>SUMPRODUCT(LARGE((Input!D$11:D$985=4)*Input!R$11:R$985,5))</f>
        <v>0</v>
      </c>
      <c r="N39" s="36"/>
      <c r="O39" s="37"/>
      <c r="P39" s="32">
        <f>SUMPRODUCT(LARGE((Input!D$11:D$985=5)*Input!R$11:R$985,5))</f>
        <v>0</v>
      </c>
      <c r="Q39" s="36"/>
      <c r="R39" s="37"/>
      <c r="S39" s="32">
        <f>SUMPRODUCT(LARGE((Input!D$11:D$985=6)*Input!R$11:R$985,5))</f>
        <v>0</v>
      </c>
      <c r="T39" s="36"/>
      <c r="U39" s="37"/>
      <c r="V39" s="32">
        <f>SUMPRODUCT(LARGE((Input!D$11:D$985=7)*Input!R$11:R$985,5))</f>
        <v>0</v>
      </c>
      <c r="W39" s="36"/>
      <c r="X39" s="37"/>
      <c r="Y39" s="32">
        <f>SUMPRODUCT(LARGE((Input!D$11:D$985=8)*Input!R$11:R$985,5))</f>
        <v>0</v>
      </c>
      <c r="Z39" s="36"/>
      <c r="AA39" s="37"/>
      <c r="AB39" s="32">
        <f>SUMPRODUCT(LARGE((Input!D$11:D$985=9)*Input!R$11:R$985,5))</f>
        <v>0</v>
      </c>
      <c r="AC39" s="36"/>
      <c r="AD39" s="37"/>
      <c r="AE39" s="32">
        <f>SUMPRODUCT(LARGE((Input!$D$11:$D$985=10)*Input!$R$11:$R$985,5))</f>
        <v>0</v>
      </c>
      <c r="AF39" s="36"/>
      <c r="AG39" s="314"/>
      <c r="AH39" s="34">
        <f>SUMPRODUCT(LARGE((Input!$D$11:$D$985=11)*Input!$R$11:$R$985,5))</f>
        <v>0</v>
      </c>
      <c r="AI39" s="347"/>
      <c r="AJ39" s="347"/>
      <c r="AK39" s="11"/>
      <c r="AL39" s="36"/>
      <c r="AM39" s="37"/>
      <c r="AN39" s="34">
        <f>SUMPRODUCT(LARGE((Input!$D$11:$D$985=12)*Input!$R$11:$R$985,5))</f>
        <v>0</v>
      </c>
      <c r="AO39" s="36"/>
      <c r="AP39" s="37"/>
      <c r="AQ39" s="34">
        <f>SUMPRODUCT(LARGE((Input!$D$11:$D$985=13)*Input!$R$11:$R$985,5))</f>
        <v>0</v>
      </c>
      <c r="AR39" s="36"/>
      <c r="AS39" s="37"/>
      <c r="AT39" s="34">
        <f>SUMPRODUCT(LARGE((Input!$D$11:$D$985=14)*Input!$R$11:$R$985,5))</f>
        <v>0</v>
      </c>
      <c r="AU39" s="36"/>
      <c r="AV39" s="37"/>
      <c r="AW39" s="34">
        <f>SUMPRODUCT(LARGE((Input!$D$11:$D$985=15)*Input!$R$11:$R$985,5))</f>
        <v>0</v>
      </c>
      <c r="AX39" s="36"/>
      <c r="AY39" s="37"/>
      <c r="AZ39" s="34">
        <f>SUMPRODUCT(LARGE((Input!$D$11:$D$985=16)*Input!$R$11:$R$985,5))</f>
        <v>0</v>
      </c>
      <c r="BA39" s="36"/>
      <c r="BB39" s="37"/>
      <c r="BC39" s="34">
        <f>SUMPRODUCT(LARGE((Input!$D$11:$D$985=17)*Input!$R$11:$R$985,5))</f>
        <v>0</v>
      </c>
      <c r="BD39" s="36"/>
      <c r="BE39" s="37"/>
      <c r="BF39" s="34">
        <f>SUMPRODUCT(LARGE((Input!$D$11:$D$985=18)*Input!$R$11:$R$985,5))</f>
        <v>0</v>
      </c>
      <c r="BG39" s="36"/>
      <c r="BH39" s="37"/>
      <c r="BI39" s="34">
        <f>SUMPRODUCT(LARGE((Input!$D$11:$D$985=19)*Input!$R$11:$R$985,5))</f>
        <v>0</v>
      </c>
      <c r="BJ39" s="36"/>
      <c r="BK39" s="37"/>
      <c r="BL39" s="34">
        <f>SUMPRODUCT(LARGE((Input!$D$11:$D$985=20)*Input!$R$11:$R$985,5))</f>
        <v>0</v>
      </c>
      <c r="BM39" s="36"/>
      <c r="BN39" s="39"/>
    </row>
    <row r="40" spans="1:66" ht="13.5" hidden="1" thickBot="1" x14ac:dyDescent="0.3">
      <c r="C40" s="11"/>
      <c r="D40" s="30">
        <f>SUMPRODUCT(LARGE((Input!D$11:D$985=1)*Input!R$11:R$985,6))</f>
        <v>0</v>
      </c>
      <c r="E40" s="35"/>
      <c r="F40" s="37"/>
      <c r="G40" s="32">
        <f>SUMPRODUCT(LARGE((Input!D$11:D$985=2)*Input!R$11:R$985,6))</f>
        <v>0</v>
      </c>
      <c r="H40" s="36"/>
      <c r="I40" s="37"/>
      <c r="J40" s="32">
        <f>SUMPRODUCT(LARGE((Input!D$11:D$985=3)*Input!R$11:R$985,6))</f>
        <v>0</v>
      </c>
      <c r="K40" s="36"/>
      <c r="L40" s="38"/>
      <c r="M40" s="34">
        <f>SUMPRODUCT(LARGE((Input!D$11:D$985=4)*Input!R$11:R$985,6))</f>
        <v>0</v>
      </c>
      <c r="N40" s="36"/>
      <c r="O40" s="37"/>
      <c r="P40" s="32">
        <f>SUMPRODUCT(LARGE((Input!D$11:D$985=5)*Input!R$11:R$985,6))</f>
        <v>0</v>
      </c>
      <c r="Q40" s="36"/>
      <c r="R40" s="37"/>
      <c r="S40" s="32">
        <f>SUMPRODUCT(LARGE((Input!D$11:D$985=6)*Input!R$11:R$985,6))</f>
        <v>0</v>
      </c>
      <c r="T40" s="36"/>
      <c r="U40" s="37"/>
      <c r="V40" s="32">
        <f>SUMPRODUCT(LARGE((Input!D$11:D$985=7)*Input!R$11:R$985,6))</f>
        <v>0</v>
      </c>
      <c r="W40" s="36"/>
      <c r="X40" s="37"/>
      <c r="Y40" s="32">
        <f>SUMPRODUCT(LARGE((Input!D$11:D$985=8)*Input!R$11:R$985,6))</f>
        <v>0</v>
      </c>
      <c r="Z40" s="36"/>
      <c r="AA40" s="37"/>
      <c r="AB40" s="32">
        <f>SUMPRODUCT(LARGE((Input!D$11:D$985=9)*Input!R$11:R$985,6))</f>
        <v>0</v>
      </c>
      <c r="AC40" s="36"/>
      <c r="AD40" s="37"/>
      <c r="AE40" s="32">
        <f>SUMPRODUCT(LARGE((Input!$D$11:$D$985=10)*Input!$R$11:$R$985,6))</f>
        <v>0</v>
      </c>
      <c r="AF40" s="36"/>
      <c r="AG40" s="314"/>
      <c r="AH40" s="34">
        <f>SUMPRODUCT(LARGE((Input!$D$11:$D$985=11)*Input!$R$11:$R$985,6))</f>
        <v>0</v>
      </c>
      <c r="AI40" s="347"/>
      <c r="AJ40" s="347"/>
      <c r="AK40" s="11"/>
      <c r="AL40" s="36"/>
      <c r="AM40" s="37"/>
      <c r="AN40" s="34">
        <f>SUMPRODUCT(LARGE((Input!$D$11:$D$985=12)*Input!$R$11:$R$985,6))</f>
        <v>0</v>
      </c>
      <c r="AO40" s="36"/>
      <c r="AP40" s="37"/>
      <c r="AQ40" s="34">
        <f>SUMPRODUCT(LARGE((Input!$D$11:$D$985=13)*Input!$R$11:$R$985,6))</f>
        <v>0</v>
      </c>
      <c r="AR40" s="36"/>
      <c r="AS40" s="37"/>
      <c r="AT40" s="34">
        <f>SUMPRODUCT(LARGE((Input!$D$11:$D$985=14)*Input!$R$11:$R$985,6))</f>
        <v>0</v>
      </c>
      <c r="AU40" s="36"/>
      <c r="AV40" s="37"/>
      <c r="AW40" s="34">
        <f>SUMPRODUCT(LARGE((Input!$D$11:$D$985=15)*Input!$R$11:$R$985,6))</f>
        <v>0</v>
      </c>
      <c r="AX40" s="36"/>
      <c r="AY40" s="37"/>
      <c r="AZ40" s="34">
        <f>SUMPRODUCT(LARGE((Input!$D$11:$D$985=16)*Input!$R$11:$R$985,6))</f>
        <v>0</v>
      </c>
      <c r="BA40" s="36"/>
      <c r="BB40" s="37"/>
      <c r="BC40" s="34">
        <f>SUMPRODUCT(LARGE((Input!$D$11:$D$985=17)*Input!$R$11:$R$985,6))</f>
        <v>0</v>
      </c>
      <c r="BD40" s="36"/>
      <c r="BE40" s="37"/>
      <c r="BF40" s="34">
        <f>SUMPRODUCT(LARGE((Input!$D$11:$D$985=18)*Input!$R$11:$R$985,6))</f>
        <v>0</v>
      </c>
      <c r="BG40" s="36"/>
      <c r="BH40" s="37"/>
      <c r="BI40" s="34">
        <f>SUMPRODUCT(LARGE((Input!$D$11:$D$985=19)*Input!$R$11:$R$985,6))</f>
        <v>0</v>
      </c>
      <c r="BJ40" s="36"/>
      <c r="BK40" s="37"/>
      <c r="BL40" s="34">
        <f>SUMPRODUCT(LARGE((Input!$D$11:$D$985=20)*Input!$R$11:$R$985,6))</f>
        <v>0</v>
      </c>
      <c r="BM40" s="36"/>
      <c r="BN40" s="39"/>
    </row>
    <row r="41" spans="1:66" ht="13.5" hidden="1" thickBot="1" x14ac:dyDescent="0.3">
      <c r="C41" s="11"/>
      <c r="D41" s="30">
        <f>SUMPRODUCT(LARGE((Input!D$11:D$985=1)*Input!R$11:R$985,7))</f>
        <v>0</v>
      </c>
      <c r="E41" s="35"/>
      <c r="F41" s="37"/>
      <c r="G41" s="32">
        <f>SUMPRODUCT(LARGE((Input!D$11:D$985=2)*Input!R$11:R$985,7))</f>
        <v>0</v>
      </c>
      <c r="H41" s="36"/>
      <c r="I41" s="37"/>
      <c r="J41" s="32">
        <f>SUMPRODUCT(LARGE((Input!D$11:D$985=3)*Input!R$11:R$985,7))</f>
        <v>0</v>
      </c>
      <c r="K41" s="36"/>
      <c r="L41" s="38"/>
      <c r="M41" s="34">
        <f>SUMPRODUCT(LARGE((Input!D$11:D$985=4)*Input!R$11:R$985,7))</f>
        <v>0</v>
      </c>
      <c r="N41" s="36"/>
      <c r="O41" s="37"/>
      <c r="P41" s="32">
        <f>SUMPRODUCT(LARGE((Input!D$11:D$985=5)*Input!R$11:R$985,7))</f>
        <v>0</v>
      </c>
      <c r="Q41" s="36"/>
      <c r="R41" s="37"/>
      <c r="S41" s="32">
        <f>SUMPRODUCT(LARGE((Input!D$11:D$985=6)*Input!R$11:R$985,7))</f>
        <v>0</v>
      </c>
      <c r="T41" s="36"/>
      <c r="U41" s="37"/>
      <c r="V41" s="32">
        <f>SUMPRODUCT(LARGE((Input!D$11:D$985=7)*Input!R$11:R$985,7))</f>
        <v>0</v>
      </c>
      <c r="W41" s="36"/>
      <c r="X41" s="37"/>
      <c r="Y41" s="32">
        <f>SUMPRODUCT(LARGE((Input!D$11:D$985=8)*Input!R$11:R$985,7))</f>
        <v>0</v>
      </c>
      <c r="Z41" s="36"/>
      <c r="AA41" s="37"/>
      <c r="AB41" s="32">
        <f>SUMPRODUCT(LARGE((Input!D$11:D$985=9)*Input!R$11:R$985,7))</f>
        <v>0</v>
      </c>
      <c r="AC41" s="36"/>
      <c r="AD41" s="37"/>
      <c r="AE41" s="32">
        <f>SUMPRODUCT(LARGE((Input!$D$11:$D$985=10)*Input!$R$11:$R$985,7))</f>
        <v>0</v>
      </c>
      <c r="AF41" s="36"/>
      <c r="AG41" s="314"/>
      <c r="AH41" s="34">
        <f>SUMPRODUCT(LARGE((Input!$D$11:$D$985=11)*Input!$R$11:$R$985,7))</f>
        <v>0</v>
      </c>
      <c r="AI41" s="347"/>
      <c r="AJ41" s="347"/>
      <c r="AK41" s="11"/>
      <c r="AL41" s="36"/>
      <c r="AM41" s="37"/>
      <c r="AN41" s="34">
        <f>SUMPRODUCT(LARGE((Input!$D$11:$D$985=12)*Input!$R$11:$R$985,7))</f>
        <v>0</v>
      </c>
      <c r="AO41" s="36"/>
      <c r="AP41" s="37"/>
      <c r="AQ41" s="34">
        <f>SUMPRODUCT(LARGE((Input!$D$11:$D$985=13)*Input!$R$11:$R$985,7))</f>
        <v>0</v>
      </c>
      <c r="AR41" s="36"/>
      <c r="AS41" s="37"/>
      <c r="AT41" s="34">
        <f>SUMPRODUCT(LARGE((Input!$D$11:$D$985=14)*Input!$R$11:$R$985,7))</f>
        <v>0</v>
      </c>
      <c r="AU41" s="36"/>
      <c r="AV41" s="37"/>
      <c r="AW41" s="34">
        <f>SUMPRODUCT(LARGE((Input!$D$11:$D$985=15)*Input!$R$11:$R$985,7))</f>
        <v>0</v>
      </c>
      <c r="AX41" s="36"/>
      <c r="AY41" s="37"/>
      <c r="AZ41" s="34">
        <f>SUMPRODUCT(LARGE((Input!$D$11:$D$985=16)*Input!$R$11:$R$985,7))</f>
        <v>0</v>
      </c>
      <c r="BA41" s="36"/>
      <c r="BB41" s="37"/>
      <c r="BC41" s="34">
        <f>SUMPRODUCT(LARGE((Input!$D$11:$D$985=17)*Input!$R$11:$R$985,7))</f>
        <v>0</v>
      </c>
      <c r="BD41" s="36"/>
      <c r="BE41" s="37"/>
      <c r="BF41" s="34">
        <f>SUMPRODUCT(LARGE((Input!$D$11:$D$985=18)*Input!$R$11:$R$985,7))</f>
        <v>0</v>
      </c>
      <c r="BG41" s="36"/>
      <c r="BH41" s="37"/>
      <c r="BI41" s="34">
        <f>SUMPRODUCT(LARGE((Input!$D$11:$D$985=19)*Input!$R$11:$R$985,7))</f>
        <v>0</v>
      </c>
      <c r="BJ41" s="36"/>
      <c r="BK41" s="37"/>
      <c r="BL41" s="34">
        <f>SUMPRODUCT(LARGE((Input!$D$11:$D$985=20)*Input!$R$11:$R$985,7))</f>
        <v>0</v>
      </c>
      <c r="BM41" s="36"/>
      <c r="BN41" s="39"/>
    </row>
    <row r="42" spans="1:66" ht="13.5" hidden="1" thickBot="1" x14ac:dyDescent="0.3">
      <c r="C42" s="11"/>
      <c r="D42" s="30">
        <f>SUMPRODUCT(LARGE((Input!D$11:D$985=1)*Input!R$11:R$985,8))</f>
        <v>0</v>
      </c>
      <c r="E42" s="35"/>
      <c r="F42" s="37"/>
      <c r="G42" s="32">
        <f>SUMPRODUCT(LARGE((Input!D$11:D$985=2)*Input!R$11:R$985,8))</f>
        <v>0</v>
      </c>
      <c r="H42" s="36"/>
      <c r="I42" s="37"/>
      <c r="J42" s="32">
        <f>SUMPRODUCT(LARGE((Input!D$11:D$985=3)*Input!R$11:R$985,8))</f>
        <v>0</v>
      </c>
      <c r="K42" s="36"/>
      <c r="L42" s="38"/>
      <c r="M42" s="34">
        <f>SUMPRODUCT(LARGE((Input!D$11:D$985=4)*Input!R$11:R$985,8))</f>
        <v>0</v>
      </c>
      <c r="N42" s="36"/>
      <c r="O42" s="37"/>
      <c r="P42" s="32">
        <f>SUMPRODUCT(LARGE((Input!D$11:D$985=5)*Input!R$11:R$985,8))</f>
        <v>0</v>
      </c>
      <c r="Q42" s="36"/>
      <c r="R42" s="37"/>
      <c r="S42" s="32">
        <f>SUMPRODUCT(LARGE((Input!D$11:D$985=6)*Input!R$11:R$985,8))</f>
        <v>0</v>
      </c>
      <c r="T42" s="36"/>
      <c r="U42" s="37"/>
      <c r="V42" s="32">
        <f>SUMPRODUCT(LARGE((Input!D$11:D$985=7)*Input!R$11:R$985,8))</f>
        <v>0</v>
      </c>
      <c r="W42" s="36"/>
      <c r="X42" s="37"/>
      <c r="Y42" s="32">
        <f>SUMPRODUCT(LARGE((Input!D$11:D$985=8)*Input!R$11:R$985,8))</f>
        <v>0</v>
      </c>
      <c r="Z42" s="36"/>
      <c r="AA42" s="37"/>
      <c r="AB42" s="32">
        <f>SUMPRODUCT(LARGE((Input!D$11:D$985=9)*Input!R$11:R$985,8))</f>
        <v>0</v>
      </c>
      <c r="AC42" s="36"/>
      <c r="AD42" s="37"/>
      <c r="AE42" s="32">
        <f>SUMPRODUCT(LARGE((Input!$D$11:$D$985=10)*Input!$R$11:$R$985,8))</f>
        <v>0</v>
      </c>
      <c r="AF42" s="36"/>
      <c r="AG42" s="314"/>
      <c r="AH42" s="34">
        <f>SUMPRODUCT(LARGE((Input!$D$11:$D$985=11)*Input!$R$11:$R$985,8))</f>
        <v>0</v>
      </c>
      <c r="AI42" s="347"/>
      <c r="AJ42" s="347"/>
      <c r="AK42" s="11"/>
      <c r="AL42" s="36"/>
      <c r="AM42" s="37"/>
      <c r="AN42" s="34">
        <f>SUMPRODUCT(LARGE((Input!$D$11:$D$985=12)*Input!$R$11:$R$985,8))</f>
        <v>0</v>
      </c>
      <c r="AO42" s="36"/>
      <c r="AP42" s="37"/>
      <c r="AQ42" s="34">
        <f>SUMPRODUCT(LARGE((Input!$D$11:$D$985=13)*Input!$R$11:$R$985,8))</f>
        <v>0</v>
      </c>
      <c r="AR42" s="36"/>
      <c r="AS42" s="37"/>
      <c r="AT42" s="34">
        <f>SUMPRODUCT(LARGE((Input!$D$11:$D$985=14)*Input!$R$11:$R$985,8))</f>
        <v>0</v>
      </c>
      <c r="AU42" s="36"/>
      <c r="AV42" s="37"/>
      <c r="AW42" s="34">
        <f>SUMPRODUCT(LARGE((Input!$D$11:$D$985=15)*Input!$R$11:$R$985,8))</f>
        <v>0</v>
      </c>
      <c r="AX42" s="36"/>
      <c r="AY42" s="37"/>
      <c r="AZ42" s="34">
        <f>SUMPRODUCT(LARGE((Input!$D$11:$D$985=16)*Input!$R$11:$R$985,8))</f>
        <v>0</v>
      </c>
      <c r="BA42" s="36"/>
      <c r="BB42" s="37"/>
      <c r="BC42" s="34">
        <f>SUMPRODUCT(LARGE((Input!$D$11:$D$985=17)*Input!$R$11:$R$985,8))</f>
        <v>0</v>
      </c>
      <c r="BD42" s="36"/>
      <c r="BE42" s="37"/>
      <c r="BF42" s="34">
        <f>SUMPRODUCT(LARGE((Input!$D$11:$D$985=18)*Input!$R$11:$R$985,8))</f>
        <v>0</v>
      </c>
      <c r="BG42" s="36"/>
      <c r="BH42" s="37"/>
      <c r="BI42" s="34">
        <f>SUMPRODUCT(LARGE((Input!$D$11:$D$985=19)*Input!$R$11:$R$985,8))</f>
        <v>0</v>
      </c>
      <c r="BJ42" s="36"/>
      <c r="BK42" s="37"/>
      <c r="BL42" s="34">
        <f>SUMPRODUCT(LARGE((Input!$D$11:$D$985=20)*Input!$R$11:$R$985,8))</f>
        <v>0</v>
      </c>
      <c r="BM42" s="36"/>
      <c r="BN42" s="39"/>
    </row>
    <row r="43" spans="1:66" ht="13.5" hidden="1" thickBot="1" x14ac:dyDescent="0.3">
      <c r="C43" s="11"/>
      <c r="D43" s="30">
        <f>SUMPRODUCT(LARGE((Input!D$11:D$985=1)*Input!R$11:R$985,9))</f>
        <v>0</v>
      </c>
      <c r="E43" s="35"/>
      <c r="F43" s="37"/>
      <c r="G43" s="32">
        <f>SUMPRODUCT(LARGE((Input!D$11:D$985=2)*Input!R$11:R$985,9))</f>
        <v>0</v>
      </c>
      <c r="H43" s="36"/>
      <c r="I43" s="37"/>
      <c r="J43" s="32">
        <f>SUMPRODUCT(LARGE((Input!D$11:D$985=3)*Input!R$11:R$985,9))</f>
        <v>0</v>
      </c>
      <c r="K43" s="36"/>
      <c r="L43" s="38"/>
      <c r="M43" s="34">
        <f>SUMPRODUCT(LARGE((Input!D$11:D$985=4)*Input!R$11:R$985,9))</f>
        <v>0</v>
      </c>
      <c r="N43" s="36"/>
      <c r="O43" s="37"/>
      <c r="P43" s="32">
        <f>SUMPRODUCT(LARGE((Input!D$11:D$985=5)*Input!R$11:R$985,9))</f>
        <v>0</v>
      </c>
      <c r="Q43" s="36"/>
      <c r="R43" s="37"/>
      <c r="S43" s="32">
        <f>SUMPRODUCT(LARGE((Input!D$11:D$985=6)*Input!R$11:R$985,9))</f>
        <v>0</v>
      </c>
      <c r="T43" s="36"/>
      <c r="U43" s="37"/>
      <c r="V43" s="32">
        <f>SUMPRODUCT(LARGE((Input!D$11:D$985=7)*Input!R$11:R$985,9))</f>
        <v>0</v>
      </c>
      <c r="W43" s="36"/>
      <c r="X43" s="37"/>
      <c r="Y43" s="32">
        <f>SUMPRODUCT(LARGE((Input!D$11:D$985=8)*Input!R$11:R$985,9))</f>
        <v>0</v>
      </c>
      <c r="Z43" s="36"/>
      <c r="AA43" s="37"/>
      <c r="AB43" s="32">
        <f>SUMPRODUCT(LARGE((Input!D$11:D$985=9)*Input!R$11:R$985,9))</f>
        <v>0</v>
      </c>
      <c r="AC43" s="36"/>
      <c r="AD43" s="37"/>
      <c r="AE43" s="32">
        <f>SUMPRODUCT(LARGE((Input!$D$11:$D$985=10)*Input!$R$11:$R$985,9))</f>
        <v>0</v>
      </c>
      <c r="AF43" s="36"/>
      <c r="AG43" s="314"/>
      <c r="AH43" s="34">
        <f>SUMPRODUCT(LARGE((Input!$D$11:$D$985=11)*Input!$R$11:$R$985,9))</f>
        <v>0</v>
      </c>
      <c r="AI43" s="347"/>
      <c r="AJ43" s="347"/>
      <c r="AK43" s="11"/>
      <c r="AL43" s="36"/>
      <c r="AM43" s="37"/>
      <c r="AN43" s="34">
        <f>SUMPRODUCT(LARGE((Input!$D$11:$D$985=12)*Input!$R$11:$R$985,9))</f>
        <v>0</v>
      </c>
      <c r="AO43" s="36"/>
      <c r="AP43" s="37"/>
      <c r="AQ43" s="34">
        <f>SUMPRODUCT(LARGE((Input!$D$11:$D$985=13)*Input!$R$11:$R$985,9))</f>
        <v>0</v>
      </c>
      <c r="AR43" s="36"/>
      <c r="AS43" s="37"/>
      <c r="AT43" s="34">
        <f>SUMPRODUCT(LARGE((Input!$D$11:$D$985=14)*Input!$R$11:$R$985,9))</f>
        <v>0</v>
      </c>
      <c r="AU43" s="36"/>
      <c r="AV43" s="37"/>
      <c r="AW43" s="34">
        <f>SUMPRODUCT(LARGE((Input!$D$11:$D$985=15)*Input!$R$11:$R$985,9))</f>
        <v>0</v>
      </c>
      <c r="AX43" s="36"/>
      <c r="AY43" s="37"/>
      <c r="AZ43" s="34">
        <f>SUMPRODUCT(LARGE((Input!$D$11:$D$985=16)*Input!$R$11:$R$985,9))</f>
        <v>0</v>
      </c>
      <c r="BA43" s="36"/>
      <c r="BB43" s="37"/>
      <c r="BC43" s="34">
        <f>SUMPRODUCT(LARGE((Input!$D$11:$D$985=17)*Input!$R$11:$R$985,9))</f>
        <v>0</v>
      </c>
      <c r="BD43" s="36"/>
      <c r="BE43" s="37"/>
      <c r="BF43" s="34">
        <f>SUMPRODUCT(LARGE((Input!$D$11:$D$985=18)*Input!$R$11:$R$985,9))</f>
        <v>0</v>
      </c>
      <c r="BG43" s="36"/>
      <c r="BH43" s="37"/>
      <c r="BI43" s="34">
        <f>SUMPRODUCT(LARGE((Input!$D$11:$D$985=19)*Input!$R$11:$R$985,9))</f>
        <v>0</v>
      </c>
      <c r="BJ43" s="36"/>
      <c r="BK43" s="37"/>
      <c r="BL43" s="34">
        <f>SUMPRODUCT(LARGE((Input!$D$11:$D$985=20)*Input!$R$11:$R$985,9))</f>
        <v>0</v>
      </c>
      <c r="BM43" s="36"/>
      <c r="BN43" s="39"/>
    </row>
    <row r="44" spans="1:66" ht="13.5" hidden="1" thickBot="1" x14ac:dyDescent="0.3">
      <c r="C44" s="11"/>
      <c r="D44" s="30">
        <f>SUMPRODUCT(LARGE((Input!D$11:D$985=1)*Input!R$11:R$985,10))</f>
        <v>0</v>
      </c>
      <c r="E44" s="35"/>
      <c r="F44" s="37"/>
      <c r="G44" s="32">
        <f>SUMPRODUCT(LARGE((Input!D$11:D$985=2)*Input!R$11:R$985,10))</f>
        <v>0</v>
      </c>
      <c r="H44" s="36"/>
      <c r="I44" s="37"/>
      <c r="J44" s="32">
        <f>SUMPRODUCT(LARGE((Input!D$11:D$985=3)*Input!R$11:R$985,10))</f>
        <v>0</v>
      </c>
      <c r="K44" s="36"/>
      <c r="L44" s="38"/>
      <c r="M44" s="34">
        <f>SUMPRODUCT(LARGE((Input!D$11:D$985=4)*Input!R$11:R$985,10))</f>
        <v>0</v>
      </c>
      <c r="N44" s="36"/>
      <c r="O44" s="37"/>
      <c r="P44" s="32">
        <f>SUMPRODUCT(LARGE((Input!D$11:D$985=5)*Input!R$11:R$985,10))</f>
        <v>0</v>
      </c>
      <c r="Q44" s="36"/>
      <c r="R44" s="37"/>
      <c r="S44" s="32">
        <f>SUMPRODUCT(LARGE((Input!D$11:D$985=6)*Input!R$11:R$985,10))</f>
        <v>0</v>
      </c>
      <c r="T44" s="36"/>
      <c r="U44" s="37"/>
      <c r="V44" s="32">
        <f>SUMPRODUCT(LARGE((Input!D$11:D$985=7)*Input!R$11:R$985,10))</f>
        <v>0</v>
      </c>
      <c r="W44" s="36"/>
      <c r="X44" s="37"/>
      <c r="Y44" s="32">
        <f>SUMPRODUCT(LARGE((Input!D$11:D$985=8)*Input!R$11:R$985,10))</f>
        <v>0</v>
      </c>
      <c r="Z44" s="36"/>
      <c r="AA44" s="37"/>
      <c r="AB44" s="32">
        <f>SUMPRODUCT(LARGE((Input!D$11:D$985=9)*Input!R$11:R$985,10))</f>
        <v>0</v>
      </c>
      <c r="AC44" s="36"/>
      <c r="AD44" s="37"/>
      <c r="AE44" s="32">
        <f>SUMPRODUCT(LARGE((Input!$D$11:$D$985=10)*Input!$R$11:$R$985,10))</f>
        <v>0</v>
      </c>
      <c r="AF44" s="36"/>
      <c r="AG44" s="314"/>
      <c r="AH44" s="34">
        <f>SUMPRODUCT(LARGE((Input!$D$11:$D$985=11)*Input!$R$11:$R$985,10))</f>
        <v>0</v>
      </c>
      <c r="AI44" s="347"/>
      <c r="AJ44" s="347"/>
      <c r="AK44" s="11"/>
      <c r="AL44" s="36"/>
      <c r="AM44" s="37"/>
      <c r="AN44" s="34">
        <f>SUMPRODUCT(LARGE((Input!$D$11:$D$985=12)*Input!$R$11:$R$985,10))</f>
        <v>0</v>
      </c>
      <c r="AO44" s="36"/>
      <c r="AP44" s="37"/>
      <c r="AQ44" s="34">
        <f>SUMPRODUCT(LARGE((Input!$D$11:$D$985=13)*Input!$R$11:$R$985,10))</f>
        <v>0</v>
      </c>
      <c r="AR44" s="36"/>
      <c r="AS44" s="37"/>
      <c r="AT44" s="34">
        <f>SUMPRODUCT(LARGE((Input!$D$11:$D$985=14)*Input!$R$11:$R$985,10))</f>
        <v>0</v>
      </c>
      <c r="AU44" s="36"/>
      <c r="AV44" s="37"/>
      <c r="AW44" s="34">
        <f>SUMPRODUCT(LARGE((Input!$D$11:$D$985=15)*Input!$R$11:$R$985,10))</f>
        <v>0</v>
      </c>
      <c r="AX44" s="36"/>
      <c r="AY44" s="37"/>
      <c r="AZ44" s="34">
        <f>SUMPRODUCT(LARGE((Input!$D$11:$D$985=16)*Input!$R$11:$R$985,10))</f>
        <v>0</v>
      </c>
      <c r="BA44" s="36"/>
      <c r="BB44" s="37"/>
      <c r="BC44" s="34">
        <f>SUMPRODUCT(LARGE((Input!$D$11:$D$985=17)*Input!$R$11:$R$985,10))</f>
        <v>0</v>
      </c>
      <c r="BD44" s="36"/>
      <c r="BE44" s="37"/>
      <c r="BF44" s="34">
        <f>SUMPRODUCT(LARGE((Input!$D$11:$D$985=18)*Input!$R$11:$R$985,10))</f>
        <v>0</v>
      </c>
      <c r="BG44" s="36"/>
      <c r="BH44" s="37"/>
      <c r="BI44" s="34">
        <f>SUMPRODUCT(LARGE((Input!$D$11:$D$985=19)*Input!$R$11:$R$985,10))</f>
        <v>0</v>
      </c>
      <c r="BJ44" s="36"/>
      <c r="BK44" s="37"/>
      <c r="BL44" s="34">
        <f>SUMPRODUCT(LARGE((Input!$D$11:$D$985=20)*Input!$R$11:$R$985,10))</f>
        <v>0</v>
      </c>
      <c r="BM44" s="36"/>
      <c r="BN44" s="39"/>
    </row>
    <row r="45" spans="1:66" ht="16" customHeight="1" thickBot="1" x14ac:dyDescent="0.3">
      <c r="C45" s="644" t="s">
        <v>38</v>
      </c>
      <c r="D45" s="45"/>
      <c r="E45" s="35" t="str">
        <f>IF(E46&gt;0,RANK(E46,($E46,$H46,$K46,$N46,$Q46,$T46,$W46,$Z46,$AC46,$AF46,$AL46,$AO46,$AR46,$AU46,$AX46,$BA46,$BD46,$BG46,$BJ46,$BM46),0)," ")</f>
        <v xml:space="preserve"> </v>
      </c>
      <c r="F45" s="671" t="str">
        <f>IF(E45&gt;0,IF(ISERROR(($C$1*2)-((E45-1)*2))," ",(($C$1*2)-((E45-1)*2))))</f>
        <v xml:space="preserve"> </v>
      </c>
      <c r="G45" s="58"/>
      <c r="H45" s="36" t="str">
        <f>IF(G46&gt;0,RANK(H46,($E46,$H46,$K46,$N46,$Q46,$T46,$W46,$Z46,$AC46,$AF46,$AL46,$AO46,$AR46,$AU46,$AX46,$BA46,$BD46,$BG46,$BJ46,$BM46),0)," ")</f>
        <v xml:space="preserve"> </v>
      </c>
      <c r="I45" s="671" t="str">
        <f>IF(H45&gt;0,IF(ISERROR(($C$1*2)-((H45-1)*2))," ",(($C$1*2)-((H45-1)*2))))</f>
        <v xml:space="preserve"> </v>
      </c>
      <c r="J45" s="58"/>
      <c r="K45" s="36" t="str">
        <f>IF(J46&gt;0,RANK(K46,($E46,$H46,$K46,$N46,$Q46,$T46,$W46,$Z46,$AC46,$AF46,$AL46,$AO46,$AR46,$AU46,$AX46,$BA46,$BD46,$BG46,$BJ46,$BM46),0)," ")</f>
        <v xml:space="preserve"> </v>
      </c>
      <c r="L45" s="672" t="str">
        <f>IF(K45&gt;0,IF(ISERROR(($C$1*2)-((K45-1)*2))," ",(($C$1*2)-((K45-1)*2))))</f>
        <v xml:space="preserve"> </v>
      </c>
      <c r="M45" s="59"/>
      <c r="N45" s="36" t="str">
        <f>IF(M46&gt;0,RANK(N46,($E46,$H46,$K46,$N46,$Q46,$T46,$W46,$Z46,$AC46,$AF46,$AL46,$AO46,$AR46,$AU46,$AX46,$BA46,$BD46,$BG46,$BJ46,$BM46),0)," ")</f>
        <v xml:space="preserve"> </v>
      </c>
      <c r="O45" s="671" t="str">
        <f>IF(N45&gt;0,IF(ISERROR(($C$1*2)-((N45-1)*2))," ",(($C$1*2)-((N45-1)*2))))</f>
        <v xml:space="preserve"> </v>
      </c>
      <c r="P45" s="58"/>
      <c r="Q45" s="36" t="str">
        <f>IF(P46&gt;0,RANK(Q46,($E46,$H46,$K46,$N46,$Q46,$T46,$W46,$Z46,$AC46,$AF46,$AL46,$AO46,$AR46,$AU46,$AX46,$BA46,$BD46,$BG46,$BJ46,$BM46),0)," ")</f>
        <v xml:space="preserve"> </v>
      </c>
      <c r="R45" s="671" t="str">
        <f>IF(Q45&gt;0,IF(ISERROR(($C$1*2)-((Q45-1)*2))," ",(($C$1*2)-((Q45-1)*2))))</f>
        <v xml:space="preserve"> </v>
      </c>
      <c r="S45" s="58"/>
      <c r="T45" s="36" t="str">
        <f>IF(S46&gt;0,RANK(T46,($E46,$H46,$K46,$N46,$Q46,$T46,$W46,$Z46,$AC46,$AF46,$AL46,$AO46,$AR46,$AU46,$AX46,$BA46,$BD46,$BG46,$BJ46,$BM46),0)," ")</f>
        <v xml:space="preserve"> </v>
      </c>
      <c r="U45" s="671" t="str">
        <f>IF(T45&gt;0,IF(ISERROR(($C$1*2)-((T45-1)*2))," ",(($C$1*2)-((T45-1)*2))))</f>
        <v xml:space="preserve"> </v>
      </c>
      <c r="V45" s="58"/>
      <c r="W45" s="36" t="str">
        <f>IF(V46&gt;0,RANK(W46,($E46,$H46,$K46,$N46,$Q46,$T46,$W46,$Z46,$AC46,$AF46,$AL46,$AO46,$AR46,$AU46,$AX46,$BA46,$BD46,$BG46,$BJ46,$BM46),0)," ")</f>
        <v xml:space="preserve"> </v>
      </c>
      <c r="X45" s="671" t="str">
        <f>IF(W45&gt;0,IF(ISERROR(($C$1*2)-((W45-1)*2))," ",(($C$1*2)-((W45-1)*2))))</f>
        <v xml:space="preserve"> </v>
      </c>
      <c r="Y45" s="58"/>
      <c r="Z45" s="36" t="str">
        <f>IF(Y46&gt;0,RANK(Z46,($E46,$H46,$K46,$N46,$Q46,$T46,$W46,$Z46,$AC46,$AF46,$AL46,$AO46,$AR46,$AU46,$AX46,$BA46,$BD46,$BG46,$BJ46,$BM46),0)," ")</f>
        <v xml:space="preserve"> </v>
      </c>
      <c r="AA45" s="671" t="str">
        <f>IF(Z45&gt;0,IF(ISERROR(($C$1*2)-((Z45-1)*2))," ",(($C$1*2)-((Z45-1)*2))))</f>
        <v xml:space="preserve"> </v>
      </c>
      <c r="AB45" s="58"/>
      <c r="AC45" s="36" t="str">
        <f>IF(AB46&gt;0,RANK(AC46,($E46,$H46,$K46,$N46,$Q46,$T46,$W46,$Z46,$AC46,$AF46,$AL46,$AO46,$AR46,$AU46,$AX46,$BA46,$BD46,$BG46,$BJ46,$BM46),0)," ")</f>
        <v xml:space="preserve"> </v>
      </c>
      <c r="AD45" s="671" t="str">
        <f>IF(AC45&gt;0,IF(ISERROR(($C$1*2)-((AC45-1)*2))," ",(($C$1*2)-((AC45-1)*2))))</f>
        <v xml:space="preserve"> </v>
      </c>
      <c r="AE45" s="58"/>
      <c r="AF45" s="36" t="str">
        <f>IF(AE46&gt;0,RANK(AF46,($E46,$H46,$K46,$N46,$Q46,$T46,$W46,$Z46,$AC46,$AF46,$AL46,$AO46,$AR46,$AU46,$AX46,$BA46,$BD46,$BG46,$BJ46,$BM46),0)," ")</f>
        <v xml:space="preserve"> </v>
      </c>
      <c r="AG45" s="670" t="str">
        <f>IF(AF45&gt;0,IF(ISERROR(($C$1*2)-((AF45-1)*2))," ",(($C$1*2)-((AF45-1)*2))))</f>
        <v xml:space="preserve"> </v>
      </c>
      <c r="AH45" s="59"/>
      <c r="AI45" s="347"/>
      <c r="AJ45" s="347"/>
      <c r="AK45" s="644" t="s">
        <v>38</v>
      </c>
      <c r="AL45" s="36" t="str">
        <f>IF(AH46&gt;0,RANK(AL46,($E46,$H46,$K46,$N46,$Q46,$T46,$W46,$Z46,$AC46,$AF46,$AL46,$AO46,$AR46,$AU46,$AX46,$BA46,$BD46,$BG46,$BJ46,$BM46),0)," ")</f>
        <v xml:space="preserve"> </v>
      </c>
      <c r="AM45" s="671" t="str">
        <f>IF(AL45&gt;0,IF(ISERROR(($C$1*2)-((AL45-1)*2))," ",(($C$1*2)-((AL45-1)*2))))</f>
        <v xml:space="preserve"> </v>
      </c>
      <c r="AN45" s="59"/>
      <c r="AO45" s="36" t="str">
        <f>IF(AN46&gt;0,RANK(AO46,($E46,$H46,$K46,$N46,$Q46,$T46,$W46,$Z46,$AC46,$AF46,$AL46,$AO46,$AR46,$AU46,$AX46,$BA46,$BD46,$BG46,$BJ46,$BM46),0)," ")</f>
        <v xml:space="preserve"> </v>
      </c>
      <c r="AP45" s="671" t="str">
        <f>IF(AO45&gt;0,IF(ISERROR(($C$1*2)-((AO45-1)*2))," ",(($C$1*2)-((AO45-1)*2))))</f>
        <v xml:space="preserve"> </v>
      </c>
      <c r="AQ45" s="59"/>
      <c r="AR45" s="36" t="str">
        <f>IF(AQ46&gt;0,RANK(AR46,($E46,$H46,$K46,$N46,$Q46,$T46,$W46,$Z46,$AC46,$AF46,$AL46,$AO46,$AR46,$AU46,$AX46,$BA46,$BD46,$BG46,$BJ46,$BM46),0)," ")</f>
        <v xml:space="preserve"> </v>
      </c>
      <c r="AS45" s="671" t="str">
        <f>IF(AR45&gt;0,IF(ISERROR(($C$1*2)-((AR45-1)*2))," ",(($C$1*2)-((AR45-1)*2))))</f>
        <v xml:space="preserve"> </v>
      </c>
      <c r="AT45" s="59"/>
      <c r="AU45" s="36" t="str">
        <f>IF(AT46&gt;0,RANK(AU46,($E46,$H46,$K46,$N46,$Q46,$T46,$W46,$Z46,$AC46,$AF46,$AL46,$AO46,$AR46,$AU46,$AX46,$BA46,$BD46,$BG46,$BJ46,$BM46),0)," ")</f>
        <v xml:space="preserve"> </v>
      </c>
      <c r="AV45" s="671" t="str">
        <f>IF(AU45&gt;0,IF(ISERROR(($C$1*2)-((AU45-1)*2))," ",(($C$1*2)-((AU45-1)*2))))</f>
        <v xml:space="preserve"> </v>
      </c>
      <c r="AW45" s="59"/>
      <c r="AX45" s="36" t="str">
        <f>IF(AW46&gt;0,RANK(AX46,($E46,$H46,$K46,$N46,$Q46,$T46,$W46,$Z46,$AC46,$AF46,$AL46,$AO46,$AR46,$AU46,$AX46,$BA46,$BD46,$BG46,$BJ46,$BM46),0)," ")</f>
        <v xml:space="preserve"> </v>
      </c>
      <c r="AY45" s="671" t="str">
        <f>IF(AX45&gt;0,IF(ISERROR(($C$1*2)-((AX45-1)*2))," ",(($C$1*2)-((AX45-1)*2))))</f>
        <v xml:space="preserve"> </v>
      </c>
      <c r="AZ45" s="59"/>
      <c r="BA45" s="36" t="str">
        <f>IF(AZ46&gt;0,RANK(BA46,($E46,$H46,$K46,$N46,$Q46,$T46,$W46,$Z46,$AC46,$AF46,$AL46,$AO46,$AR46,$AU46,$AX46,$BA46,$BD46,$BG46,$BJ46,$BM46),0)," ")</f>
        <v xml:space="preserve"> </v>
      </c>
      <c r="BB45" s="671" t="str">
        <f>IF(BA45&gt;0,IF(ISERROR(($C$1*2)-((BA45-1)*2))," ",(($C$1*2)-((BA45-1)*2))))</f>
        <v xml:space="preserve"> </v>
      </c>
      <c r="BC45" s="59"/>
      <c r="BD45" s="36" t="str">
        <f>IF(BC46&gt;0,RANK(BD46,($E46,$H46,$K46,$N46,$Q46,$T46,$W46,$Z46,$AC46,$AF46,$AL46,$AO46,$AR46,$AU46,$AX46,$BA46,$BD46,$BG46,$BJ46,$BM46),0)," ")</f>
        <v xml:space="preserve"> </v>
      </c>
      <c r="BE45" s="671" t="str">
        <f>IF(BD45&gt;0,IF(ISERROR(($C$1*2)-((BD45-1)*2))," ",(($C$1*2)-((BD45-1)*2))))</f>
        <v xml:space="preserve"> </v>
      </c>
      <c r="BF45" s="59"/>
      <c r="BG45" s="36" t="str">
        <f>IF(BF46&gt;0,RANK(BG46,($E46,$H46,$K46,$N46,$Q46,$T46,$W46,$Z46,$AC46,$AF46,$AL46,$AO46,$AR46,$AU46,$AX46,$BA46,$BD46,$BG46,$BJ46,$BM46),0)," ")</f>
        <v xml:space="preserve"> </v>
      </c>
      <c r="BH45" s="671" t="str">
        <f>IF(BG45&gt;0,IF(ISERROR(($C$1*2)-((BG45-1)*2))," ",(($C$1*2)-((BG45-1)*2))))</f>
        <v xml:space="preserve"> </v>
      </c>
      <c r="BI45" s="59"/>
      <c r="BJ45" s="36" t="str">
        <f>IF(BI46&gt;0,RANK(BJ46,($E46,$H46,$K46,$N46,$Q46,$T46,$W46,$Z46,$AC46,$AF46,$AL46,$AO46,$AR46,$AU46,$AX46,$BA46,$BD46,$BG46,$BJ46,$BM46),0)," ")</f>
        <v xml:space="preserve"> </v>
      </c>
      <c r="BK45" s="671" t="str">
        <f>IF(BJ45&gt;0,IF(ISERROR(($C$1*2)-((BJ45-1)*2))," ",(($C$1*2)-((BJ45-1)*2))))</f>
        <v xml:space="preserve"> </v>
      </c>
      <c r="BL45" s="59"/>
      <c r="BM45" s="36" t="str">
        <f>IF(BL46&gt;0,RANK(BM46,($E46,$H46,$K46,$N46,$Q46,$T46,$W46,$Z46,$AC46,$AF46,$AL46,$AO46,$AR46,$AU46,$AX46,$BA46,$BD46,$BG46,$BJ46,$BM46),0)," ")</f>
        <v xml:space="preserve"> </v>
      </c>
      <c r="BN45" s="670" t="str">
        <f>IF(BM45&gt;0,IF(ISERROR(($C$1*2)-((BM45-1)*2))," ",(($C$1*2)-((BM45-1)*2))))</f>
        <v xml:space="preserve"> </v>
      </c>
    </row>
    <row r="46" spans="1:66" ht="16" customHeight="1" thickBot="1" x14ac:dyDescent="0.3">
      <c r="C46" s="644"/>
      <c r="D46" s="339">
        <f>SUMPRODUCT(LARGE((Input!$D$11:$D$985=1)*Input!$S$11:$S$985,1))</f>
        <v>0</v>
      </c>
      <c r="E46" s="35">
        <f>IF($A$1=4,SUM(D46:D49),IF($A$1=5,SUM(D46:D50),IF($A$1=6,SUM(D46:D51),IF($A$1=7,SUM(D46:D52),IF($A$1=8,SUM(D46:D53),IF($A$1=9,SUM(D46:D54),IF($A$1=10,SUM(D46:D55))))))))</f>
        <v>0</v>
      </c>
      <c r="F46" s="671"/>
      <c r="G46" s="62">
        <f>SUMPRODUCT(LARGE((Input!$D$11:$D$985=2)*Input!$S$11:$S$985,1))</f>
        <v>0</v>
      </c>
      <c r="H46" s="36">
        <f>IF($A$1=4,SUM(G46:G49),IF($A$1=5,SUM(G46:G50),IF($A$1=6,SUM(G46:G51),IF($A$1=7,SUM(G46:G52),IF($A$1=8,SUM(G46:G53),IF($A$1=9,SUM(G46:G54),IF($A$1=10,SUM(G46:G55))))))))</f>
        <v>0</v>
      </c>
      <c r="I46" s="671"/>
      <c r="J46" s="62">
        <f>SUMPRODUCT(LARGE((Input!$D$11:$D$985=3)*Input!$S$11:$S$985,1))</f>
        <v>0</v>
      </c>
      <c r="K46" s="36">
        <f>IF($A$1=4,SUM(J46:J49),IF($A$1=5,SUM(J46:J50),IF($A$1=6,SUM(J46:J51),IF($A$1=7,SUM(J46:J52),IF($A$1=8,SUM(J46:J53),IF($A$1=9,SUM(J46:J54),IF($A$1=10,SUM(J46:J55))))))))</f>
        <v>0</v>
      </c>
      <c r="L46" s="672"/>
      <c r="M46" s="340">
        <f>SUMPRODUCT(LARGE((Input!$D$11:$D$985=4)*Input!$S$11:$S$985,1))</f>
        <v>0</v>
      </c>
      <c r="N46" s="36">
        <f>IF($A$1=4,SUM(M46:M49),IF($A$1=5,SUM(M46:M50),IF($A$1=6,SUM(M46:M51),IF($A$1=7,SUM(M46:M52),IF($A$1=8,SUM(M46:M53),IF($A$1=9,SUM(M46:M54),IF($A$1=10,SUM(M46:M55))))))))</f>
        <v>0</v>
      </c>
      <c r="O46" s="671"/>
      <c r="P46" s="341">
        <f>SUMPRODUCT(LARGE((Input!$D$11:$D$985=5)*Input!$S$11:$S$985,1))</f>
        <v>0</v>
      </c>
      <c r="Q46" s="36">
        <f>IF($A$1=4,SUM(P46:P49),IF($A$1=5,SUM(P46:P50),IF($A$1=6,SUM(P46:P51),IF($A$1=7,SUM(P46:P52),IF($A$1=8,SUM(P46:P53),IF($A$1=9,SUM(P46:P54),IF($A$1=10,SUM(P46:P55))))))))</f>
        <v>0</v>
      </c>
      <c r="R46" s="671"/>
      <c r="S46" s="62">
        <f>SUMPRODUCT(LARGE((Input!$D$11:$D$985=6)*Input!$S$11:$S$985,1))</f>
        <v>0</v>
      </c>
      <c r="T46" s="36">
        <f>IF($A$1=4,SUM(S46:S49),IF($A$1=5,SUM(S46:S50),IF($A$1=6,SUM(S46:S51),IF($A$1=7,SUM(S46:S52),IF($A$1=8,SUM(S46:S53),IF($A$1=9,SUM(S46:S54),IF($A$1=10,SUM(S46:S55))))))))</f>
        <v>0</v>
      </c>
      <c r="U46" s="671"/>
      <c r="V46" s="62">
        <f>SUMPRODUCT(LARGE((Input!$D$11:$D$985=7)*Input!$S$11:$S$985,1))</f>
        <v>0</v>
      </c>
      <c r="W46" s="36">
        <f>IF($A$1=4,SUM(V46:V49),IF($A$1=5,SUM(V46:V50),IF($A$1=6,SUM(V46:V51),IF($A$1=7,SUM(V46:V52),IF($A$1=8,SUM(V46:V53),IF($A$1=9,SUM(V46:V54),IF($A$1=10,SUM(V46:V55))))))))</f>
        <v>0</v>
      </c>
      <c r="X46" s="671"/>
      <c r="Y46" s="62">
        <f>SUMPRODUCT(LARGE((Input!$D$11:$D$985=8)*Input!$S$11:$S$985,1))</f>
        <v>0</v>
      </c>
      <c r="Z46" s="36">
        <f>IF($A$1=4,SUM(Y46:Y49),IF($A$1=5,SUM(Y46:Y50),IF($A$1=6,SUM(Y46:Y51),IF($A$1=7,SUM(Y46:Y52),IF($A$1=8,SUM(Y46:Y53),IF($A$1=9,SUM(Y46:Y54),IF($A$1=10,SUM(Y46:Y55))))))))</f>
        <v>0</v>
      </c>
      <c r="AA46" s="671"/>
      <c r="AB46" s="62">
        <f>SUMPRODUCT(LARGE((Input!$D$11:$D$985=9)*Input!$S$11:$S$985,1))</f>
        <v>0</v>
      </c>
      <c r="AC46" s="36">
        <f>IF($A$1=4,SUM(AB46:AB49),IF($A$1=5,SUM(AB46:AB50),IF($A$1=6,SUM(AB46:AB51),IF($A$1=7,SUM(AB46:AB52),IF($A$1=8,SUM(AB46:AB53),IF($A$1=9,SUM(AB46:AB54),IF($A$1=10,SUM(AB46:AB55))))))))</f>
        <v>0</v>
      </c>
      <c r="AD46" s="671"/>
      <c r="AE46" s="62">
        <f>SUMPRODUCT(LARGE((Input!$D$11:$D$985=10)*Input!$S$11:$S$985,1))</f>
        <v>0</v>
      </c>
      <c r="AF46" s="36">
        <f>IF($A$1=4,SUM(AE46:AE49),IF($A$1=5,SUM(AE46:AE50),IF($A$1=6,SUM(AE46:AE51),IF($A$1=7,SUM(AE46:AE52),IF($A$1=8,SUM(AE46:AE53),IF($A$1=9,SUM(AE46:AE54),IF($A$1=10,SUM(AE46:AE55))))))))</f>
        <v>0</v>
      </c>
      <c r="AG46" s="670"/>
      <c r="AH46" s="63">
        <f>SUMPRODUCT(LARGE((Input!$D$11:$D$985=11)*Input!$S$11:$S$985,1))</f>
        <v>0</v>
      </c>
      <c r="AI46" s="348"/>
      <c r="AJ46" s="348"/>
      <c r="AK46" s="644"/>
      <c r="AL46" s="36">
        <f>IF($A$1=4,SUM(AH46:AH49),IF($A$1=5,SUM(AH46:AH50),IF($A$1=6,SUM(AH46:AH51),IF($A$1=7,SUM(AH46:AH52),IF($A$1=8,SUM(AH46:AH53),IF($A$1=9,SUM(AH46:AH54),IF($A$1=10,SUM(AH46:AH55))))))))</f>
        <v>0</v>
      </c>
      <c r="AM46" s="671"/>
      <c r="AN46" s="63">
        <f>SUMPRODUCT(LARGE((Input!$D$11:$D$985=12)*Input!$S$11:$S$985,1))</f>
        <v>0</v>
      </c>
      <c r="AO46" s="36">
        <f>IF($A$1=4,SUM(AN46:AN49),IF($A$1=5,SUM(AN46:AN50),IF($A$1=6,SUM(AN46:AN51),IF($A$1=7,SUM(AN46:AN52),IF($A$1=8,SUM(AN46:AN53),IF($A$1=9,SUM(AN46:AN54),IF($A$1=10,SUM(AN46:AN55))))))))</f>
        <v>0</v>
      </c>
      <c r="AP46" s="671"/>
      <c r="AQ46" s="63">
        <f>SUMPRODUCT(LARGE((Input!$D$11:$D$985=13)*Input!$S$11:$S$985,1))</f>
        <v>0</v>
      </c>
      <c r="AR46" s="36">
        <f>IF($A$1=4,SUM(AQ46:AQ49),IF($A$1=5,SUM(AQ46:AQ50),IF($A$1=6,SUM(AQ46:AQ51),IF($A$1=7,SUM(AQ46:AQ52),IF($A$1=8,SUM(AQ46:AQ53),IF($A$1=9,SUM(AQ46:AQ54),IF($A$1=10,SUM(AQ46:AQ55))))))))</f>
        <v>0</v>
      </c>
      <c r="AS46" s="671"/>
      <c r="AT46" s="63">
        <f>SUMPRODUCT(LARGE((Input!$D$11:$D$985=14)*Input!$S$11:$S$985,1))</f>
        <v>0</v>
      </c>
      <c r="AU46" s="36">
        <f>IF($A$1=4,SUM(AT46:AT49),IF($A$1=5,SUM(AT46:AT50),IF($A$1=6,SUM(AT46:AT51),IF($A$1=7,SUM(AT46:AT52),IF($A$1=8,SUM(AT46:AT53),IF($A$1=9,SUM(AT46:AT54),IF($A$1=10,SUM(AT46:AT55))))))))</f>
        <v>0</v>
      </c>
      <c r="AV46" s="671"/>
      <c r="AW46" s="63">
        <f>SUMPRODUCT(LARGE((Input!$D$11:$D$985=15)*Input!$S$11:$S$985,1))</f>
        <v>0</v>
      </c>
      <c r="AX46" s="36">
        <f>IF($A$1=4,SUM(AW46:AW49),IF($A$1=5,SUM(AW46:AW50),IF($A$1=6,SUM(AW46:AW51),IF($A$1=7,SUM(AW46:AW52),IF($A$1=8,SUM(AW46:AW53),IF($A$1=9,SUM(AW46:AW54),IF($A$1=10,SUM(AW46:AW55))))))))</f>
        <v>0</v>
      </c>
      <c r="AY46" s="671"/>
      <c r="AZ46" s="63">
        <f>SUMPRODUCT(LARGE((Input!$D$11:$D$985=16)*Input!$S$11:$S$985,1))</f>
        <v>0</v>
      </c>
      <c r="BA46" s="36">
        <f>IF($A$1=4,SUM(AZ46:AZ49),IF($A$1=5,SUM(AZ46:AZ50),IF($A$1=6,SUM(AZ46:AZ51),IF($A$1=7,SUM(AZ46:AZ52),IF($A$1=8,SUM(AZ46:AZ53),IF($A$1=9,SUM(AZ46:AZ54),IF($A$1=10,SUM(AZ46:AZ55))))))))</f>
        <v>0</v>
      </c>
      <c r="BB46" s="671"/>
      <c r="BC46" s="63">
        <f>SUMPRODUCT(LARGE((Input!$D$11:$D$985=17)*Input!$S$11:$S$985,1))</f>
        <v>0</v>
      </c>
      <c r="BD46" s="36">
        <f>IF($A$1=4,SUM(BC46:BC49),IF($A$1=5,SUM(BC46:BC50),IF($A$1=6,SUM(BC46:BC51),IF($A$1=7,SUM(BC46:BC52),IF($A$1=8,SUM(BC46:BC53),IF($A$1=9,SUM(BC46:BC54),IF($A$1=10,SUM(BC46:BC55))))))))</f>
        <v>0</v>
      </c>
      <c r="BE46" s="671"/>
      <c r="BF46" s="63">
        <f>SUMPRODUCT(LARGE((Input!$D$11:$D$985=18)*Input!$S$11:$S$985,1))</f>
        <v>0</v>
      </c>
      <c r="BG46" s="36">
        <f>IF($A$1=4,SUM(BF46:BF49),IF($A$1=5,SUM(BF46:BF50),IF($A$1=6,SUM(BF46:BF51),IF($A$1=7,SUM(BF46:BF52),IF($A$1=8,SUM(BF46:BF53),IF($A$1=9,SUM(BF46:BF54),IF($A$1=10,SUM(BF46:BF55))))))))</f>
        <v>0</v>
      </c>
      <c r="BH46" s="671"/>
      <c r="BI46" s="63">
        <f>SUMPRODUCT(LARGE((Input!$D$11:$D$985=19)*Input!$S$11:$S$985,1))</f>
        <v>0</v>
      </c>
      <c r="BJ46" s="36">
        <f>IF($A$1=4,SUM(BI46:BI49),IF($A$1=5,SUM(BI46:BI50),IF($A$1=6,SUM(BI46:BI51),IF($A$1=7,SUM(BI46:BI52),IF($A$1=8,SUM(BI46:BI53),IF($A$1=9,SUM(BI46:BI54),IF($A$1=10,SUM(BI46:BI55))))))))</f>
        <v>0</v>
      </c>
      <c r="BK46" s="671"/>
      <c r="BL46" s="63">
        <f>SUMPRODUCT(LARGE((Input!$D$11:$D$985=20)*Input!$S$11:$S$985,1))</f>
        <v>0</v>
      </c>
      <c r="BM46" s="36">
        <f>IF($A$1=4,SUM(BL46:BL49),IF($A$1=5,SUM(BL46:BL50),IF($A$1=6,SUM(BL46:BL51),IF($A$1=7,SUM(BL46:BL52),IF($A$1=8,SUM(BL46:BL53),IF($A$1=9,SUM(BL46:BL54),IF($A$1=10,SUM(BL46:BL55))))))))</f>
        <v>0</v>
      </c>
      <c r="BN46" s="670"/>
    </row>
    <row r="47" spans="1:66" ht="13.5" hidden="1" thickBot="1" x14ac:dyDescent="0.3">
      <c r="C47" s="11"/>
      <c r="D47" s="325">
        <f>SUMPRODUCT(LARGE((Input!$D$11:$D$985=1)*Input!$S$11:$S$985,2))</f>
        <v>0</v>
      </c>
      <c r="E47" s="326"/>
      <c r="F47" s="327"/>
      <c r="G47" s="328">
        <f>SUMPRODUCT(LARGE((Input!$D$11:$D$985=2)*Input!$S$11:$S$985,2))</f>
        <v>0</v>
      </c>
      <c r="H47" s="329"/>
      <c r="I47" s="327"/>
      <c r="J47" s="328">
        <f>SUMPRODUCT(LARGE((Input!$D$11:$D$985=3)*Input!$S$11:$S$985,2))</f>
        <v>0</v>
      </c>
      <c r="K47" s="329"/>
      <c r="L47" s="330"/>
      <c r="M47" s="331">
        <f>SUMPRODUCT(LARGE((Input!$D$11:$D$985=4)*Input!$S$11:$S$985,2))</f>
        <v>0</v>
      </c>
      <c r="N47" s="329"/>
      <c r="O47" s="327"/>
      <c r="P47" s="328">
        <f>SUMPRODUCT(LARGE((Input!$D$11:$D$985=5)*Input!$S$11:$S$985,2))</f>
        <v>0</v>
      </c>
      <c r="Q47" s="329"/>
      <c r="R47" s="327"/>
      <c r="S47" s="328">
        <f>SUMPRODUCT(LARGE((Input!$D$11:$D$985=6)*Input!$S$11:$S$985,2))</f>
        <v>0</v>
      </c>
      <c r="T47" s="329"/>
      <c r="U47" s="327"/>
      <c r="V47" s="328">
        <f>SUMPRODUCT(LARGE((Input!$D$11:$D$985=7)*Input!$S$11:$S$985,2))</f>
        <v>0</v>
      </c>
      <c r="W47" s="329"/>
      <c r="X47" s="327"/>
      <c r="Y47" s="328">
        <f>SUMPRODUCT(LARGE((Input!$D$11:$D$985=8)*Input!$S$11:$S$985,2))</f>
        <v>0</v>
      </c>
      <c r="Z47" s="329"/>
      <c r="AA47" s="327"/>
      <c r="AB47" s="328">
        <f>SUMPRODUCT(LARGE((Input!$D$11:$D$985=9)*Input!$S$11:$S$985,2))</f>
        <v>0</v>
      </c>
      <c r="AC47" s="329"/>
      <c r="AD47" s="327"/>
      <c r="AE47" s="328">
        <f>SUMPRODUCT(LARGE((Input!$D$11:$D$985=10)*Input!$S$11:$S$985,2))</f>
        <v>0</v>
      </c>
      <c r="AF47" s="329"/>
      <c r="AG47" s="332"/>
      <c r="AH47" s="331">
        <f>SUMPRODUCT(LARGE((Input!$D$11:$D$985=11)*Input!$S$11:$S$985,2))</f>
        <v>0</v>
      </c>
      <c r="AI47" s="349"/>
      <c r="AJ47" s="349"/>
      <c r="AK47" s="11"/>
      <c r="AL47" s="329"/>
      <c r="AM47" s="327"/>
      <c r="AN47" s="331">
        <f>SUMPRODUCT(LARGE((Input!$D$11:$D$985=12)*Input!$S$11:$S$985,2))</f>
        <v>0</v>
      </c>
      <c r="AO47" s="329"/>
      <c r="AP47" s="327"/>
      <c r="AQ47" s="331">
        <f>SUMPRODUCT(LARGE((Input!$D$11:$D$985=13)*Input!$S$11:$S$985,2))</f>
        <v>0</v>
      </c>
      <c r="AR47" s="329"/>
      <c r="AS47" s="327"/>
      <c r="AT47" s="331">
        <f>SUMPRODUCT(LARGE((Input!$D$11:$D$985=14)*Input!$S$11:$S$985,2))</f>
        <v>0</v>
      </c>
      <c r="AU47" s="329"/>
      <c r="AV47" s="327"/>
      <c r="AW47" s="331">
        <f>SUMPRODUCT(LARGE((Input!$D$11:$D$985=15)*Input!$S$11:$S$985,2))</f>
        <v>0</v>
      </c>
      <c r="AX47" s="329"/>
      <c r="AY47" s="327"/>
      <c r="AZ47" s="331">
        <f>SUMPRODUCT(LARGE((Input!$D$11:$D$985=16)*Input!$S$11:$S$985,2))</f>
        <v>0</v>
      </c>
      <c r="BA47" s="329"/>
      <c r="BB47" s="327"/>
      <c r="BC47" s="331">
        <f>SUMPRODUCT(LARGE((Input!$D$11:$D$985=17)*Input!$S$11:$S$985,2))</f>
        <v>0</v>
      </c>
      <c r="BD47" s="329"/>
      <c r="BE47" s="327"/>
      <c r="BF47" s="331">
        <f>SUMPRODUCT(LARGE((Input!$D$11:$D$985=18)*Input!$S$11:$S$985,2))</f>
        <v>0</v>
      </c>
      <c r="BG47" s="329"/>
      <c r="BH47" s="327"/>
      <c r="BI47" s="331">
        <f>SUMPRODUCT(LARGE((Input!$D$11:$D$985=19)*Input!$S$11:$S$985,2))</f>
        <v>0</v>
      </c>
      <c r="BJ47" s="329"/>
      <c r="BK47" s="327"/>
      <c r="BL47" s="331">
        <f>SUMPRODUCT(LARGE((Input!$D$11:$D$985=20)*Input!$S$11:$S$985,2))</f>
        <v>0</v>
      </c>
      <c r="BM47" s="329"/>
      <c r="BN47" s="332"/>
    </row>
    <row r="48" spans="1:66" ht="14" hidden="1" thickBot="1" x14ac:dyDescent="0.35">
      <c r="A48" s="4"/>
      <c r="B48" s="4"/>
      <c r="C48" s="11"/>
      <c r="D48" s="325">
        <f>SUMPRODUCT(LARGE((Input!$D$11:$D$985=1)*Input!$S$11:$S$985,3))</f>
        <v>0</v>
      </c>
      <c r="E48" s="326"/>
      <c r="F48" s="327"/>
      <c r="G48" s="328">
        <f>SUMPRODUCT(LARGE((Input!$D$11:$D$985=2)*Input!$S$11:$S$985,3))</f>
        <v>0</v>
      </c>
      <c r="H48" s="329"/>
      <c r="I48" s="327"/>
      <c r="J48" s="328">
        <f>SUMPRODUCT(LARGE((Input!$D$11:$D$985=3)*Input!$S$11:$S$985,3))</f>
        <v>0</v>
      </c>
      <c r="K48" s="329"/>
      <c r="L48" s="330"/>
      <c r="M48" s="331">
        <f>SUMPRODUCT(LARGE((Input!$D$11:$D$985=4)*Input!$S$11:$S$985,3))</f>
        <v>0</v>
      </c>
      <c r="N48" s="329"/>
      <c r="O48" s="327"/>
      <c r="P48" s="328">
        <f>SUMPRODUCT(LARGE((Input!$D$11:$D$985=5)*Input!$S$11:$S$985,3))</f>
        <v>0</v>
      </c>
      <c r="Q48" s="329"/>
      <c r="R48" s="327"/>
      <c r="S48" s="328">
        <f>SUMPRODUCT(LARGE((Input!$D$11:$D$985=6)*Input!$S$11:$S$985,3))</f>
        <v>0</v>
      </c>
      <c r="T48" s="329"/>
      <c r="U48" s="327"/>
      <c r="V48" s="328">
        <f>SUMPRODUCT(LARGE((Input!$D$11:$D$985=7)*Input!$S$11:$S$985,3))</f>
        <v>0</v>
      </c>
      <c r="W48" s="329"/>
      <c r="X48" s="327"/>
      <c r="Y48" s="328">
        <f>SUMPRODUCT(LARGE((Input!$D$11:$D$985=8)*Input!$S$11:$S$985,3))</f>
        <v>0</v>
      </c>
      <c r="Z48" s="329"/>
      <c r="AA48" s="327"/>
      <c r="AB48" s="328">
        <f>SUMPRODUCT(LARGE((Input!$D$11:$D$985=9)*Input!$S$11:$S$985,3))</f>
        <v>0</v>
      </c>
      <c r="AC48" s="329"/>
      <c r="AD48" s="327"/>
      <c r="AE48" s="328">
        <f>SUMPRODUCT(LARGE((Input!$D$11:$D$985=10)*Input!$S$11:$S$985,3))</f>
        <v>0</v>
      </c>
      <c r="AF48" s="329"/>
      <c r="AG48" s="332"/>
      <c r="AH48" s="331">
        <f>SUMPRODUCT(LARGE((Input!$D$11:$D$985=11)*Input!$S$11:$S$985,3))</f>
        <v>0</v>
      </c>
      <c r="AI48" s="349"/>
      <c r="AJ48" s="349"/>
      <c r="AK48" s="11"/>
      <c r="AL48" s="329"/>
      <c r="AM48" s="327"/>
      <c r="AN48" s="331">
        <f>SUMPRODUCT(LARGE((Input!$D$11:$D$985=12)*Input!$S$11:$S$985,3))</f>
        <v>0</v>
      </c>
      <c r="AO48" s="329"/>
      <c r="AP48" s="327"/>
      <c r="AQ48" s="331">
        <f>SUMPRODUCT(LARGE((Input!$D$11:$D$985=13)*Input!$S$11:$S$985,3))</f>
        <v>0</v>
      </c>
      <c r="AR48" s="329"/>
      <c r="AS48" s="327"/>
      <c r="AT48" s="331">
        <f>SUMPRODUCT(LARGE((Input!$D$11:$D$985=14)*Input!$S$11:$S$985,3))</f>
        <v>0</v>
      </c>
      <c r="AU48" s="329"/>
      <c r="AV48" s="327"/>
      <c r="AW48" s="331">
        <f>SUMPRODUCT(LARGE((Input!$D$11:$D$985=15)*Input!$S$11:$S$985,3))</f>
        <v>0</v>
      </c>
      <c r="AX48" s="329"/>
      <c r="AY48" s="327"/>
      <c r="AZ48" s="331">
        <f>SUMPRODUCT(LARGE((Input!$D$11:$D$985=16)*Input!$S$11:$S$985,3))</f>
        <v>0</v>
      </c>
      <c r="BA48" s="329"/>
      <c r="BB48" s="327"/>
      <c r="BC48" s="331">
        <f>SUMPRODUCT(LARGE((Input!$D$11:$D$985=17)*Input!$S$11:$S$985,3))</f>
        <v>0</v>
      </c>
      <c r="BD48" s="329"/>
      <c r="BE48" s="327"/>
      <c r="BF48" s="331">
        <f>SUMPRODUCT(LARGE((Input!$D$11:$D$985=18)*Input!$S$11:$S$985,3))</f>
        <v>0</v>
      </c>
      <c r="BG48" s="329"/>
      <c r="BH48" s="327"/>
      <c r="BI48" s="331">
        <f>SUMPRODUCT(LARGE((Input!$D$11:$D$985=19)*Input!$S$11:$S$985,3))</f>
        <v>0</v>
      </c>
      <c r="BJ48" s="329"/>
      <c r="BK48" s="327"/>
      <c r="BL48" s="331">
        <f>SUMPRODUCT(LARGE((Input!$D$11:$D$985=20)*Input!$S$11:$S$985,3))</f>
        <v>0</v>
      </c>
      <c r="BM48" s="329"/>
      <c r="BN48" s="332"/>
    </row>
    <row r="49" spans="3:66" ht="13.5" hidden="1" thickBot="1" x14ac:dyDescent="0.3">
      <c r="C49" s="11"/>
      <c r="D49" s="325">
        <f>SUMPRODUCT(LARGE((Input!$D$11:$D$985=1)*Input!$S$11:$S$985,4))</f>
        <v>0</v>
      </c>
      <c r="E49" s="326"/>
      <c r="F49" s="327"/>
      <c r="G49" s="328">
        <f>SUMPRODUCT(LARGE((Input!$D$11:$D$985=2)*Input!$S$11:$S$985,4))</f>
        <v>0</v>
      </c>
      <c r="H49" s="329"/>
      <c r="I49" s="327"/>
      <c r="J49" s="328">
        <f>SUMPRODUCT(LARGE((Input!$D$11:$D$985=3)*Input!$S$11:$S$985,4))</f>
        <v>0</v>
      </c>
      <c r="K49" s="329"/>
      <c r="L49" s="330"/>
      <c r="M49" s="331">
        <f>SUMPRODUCT(LARGE((Input!$D$11:$D$985=4)*Input!$S$11:$S$985,4))</f>
        <v>0</v>
      </c>
      <c r="N49" s="329"/>
      <c r="O49" s="327"/>
      <c r="P49" s="328">
        <f>SUMPRODUCT(LARGE((Input!$D$11:$D$985=5)*Input!$S$11:$S$985,4))</f>
        <v>0</v>
      </c>
      <c r="Q49" s="329"/>
      <c r="R49" s="327"/>
      <c r="S49" s="328">
        <f>SUMPRODUCT(LARGE((Input!$D$11:$D$985=6)*Input!$S$11:$S$985,4))</f>
        <v>0</v>
      </c>
      <c r="T49" s="329"/>
      <c r="U49" s="327"/>
      <c r="V49" s="328">
        <f>SUMPRODUCT(LARGE((Input!$D$11:$D$985=7)*Input!$S$11:$S$985,4))</f>
        <v>0</v>
      </c>
      <c r="W49" s="329"/>
      <c r="X49" s="327"/>
      <c r="Y49" s="328">
        <f>SUMPRODUCT(LARGE((Input!$D$11:$D$985=8)*Input!$S$11:$S$985,4))</f>
        <v>0</v>
      </c>
      <c r="Z49" s="329"/>
      <c r="AA49" s="327"/>
      <c r="AB49" s="328">
        <f>SUMPRODUCT(LARGE((Input!$D$11:$D$985=9)*Input!$S$11:$S$985,4))</f>
        <v>0</v>
      </c>
      <c r="AC49" s="329"/>
      <c r="AD49" s="327"/>
      <c r="AE49" s="328">
        <f>SUMPRODUCT(LARGE((Input!$D$11:$D$985=10)*Input!$S$11:$S$985,4))</f>
        <v>0</v>
      </c>
      <c r="AF49" s="329"/>
      <c r="AG49" s="332"/>
      <c r="AH49" s="331">
        <f>SUMPRODUCT(LARGE((Input!$D$11:$D$985=11)*Input!$S$11:$S$985,4))</f>
        <v>0</v>
      </c>
      <c r="AI49" s="349"/>
      <c r="AJ49" s="349"/>
      <c r="AK49" s="11"/>
      <c r="AL49" s="329"/>
      <c r="AM49" s="327"/>
      <c r="AN49" s="331">
        <f>SUMPRODUCT(LARGE((Input!$D$11:$D$985=12)*Input!$S$11:$S$985,4))</f>
        <v>0</v>
      </c>
      <c r="AO49" s="329"/>
      <c r="AP49" s="327"/>
      <c r="AQ49" s="331">
        <f>SUMPRODUCT(LARGE((Input!$D$11:$D$985=13)*Input!$S$11:$S$985,4))</f>
        <v>0</v>
      </c>
      <c r="AR49" s="329"/>
      <c r="AS49" s="327"/>
      <c r="AT49" s="331">
        <f>SUMPRODUCT(LARGE((Input!$D$11:$D$985=14)*Input!$S$11:$S$985,4))</f>
        <v>0</v>
      </c>
      <c r="AU49" s="329"/>
      <c r="AV49" s="327"/>
      <c r="AW49" s="331">
        <f>SUMPRODUCT(LARGE((Input!$D$11:$D$985=15)*Input!$S$11:$S$985,4))</f>
        <v>0</v>
      </c>
      <c r="AX49" s="329"/>
      <c r="AY49" s="327"/>
      <c r="AZ49" s="331">
        <f>SUMPRODUCT(LARGE((Input!$D$11:$D$985=16)*Input!$S$11:$S$985,4))</f>
        <v>0</v>
      </c>
      <c r="BA49" s="329"/>
      <c r="BB49" s="327"/>
      <c r="BC49" s="331">
        <f>SUMPRODUCT(LARGE((Input!$D$11:$D$985=17)*Input!$S$11:$S$985,4))</f>
        <v>0</v>
      </c>
      <c r="BD49" s="329"/>
      <c r="BE49" s="327"/>
      <c r="BF49" s="331">
        <f>SUMPRODUCT(LARGE((Input!$D$11:$D$985=18)*Input!$S$11:$S$985,4))</f>
        <v>0</v>
      </c>
      <c r="BG49" s="329"/>
      <c r="BH49" s="327"/>
      <c r="BI49" s="331">
        <f>SUMPRODUCT(LARGE((Input!$D$11:$D$985=19)*Input!$S$11:$S$985,4))</f>
        <v>0</v>
      </c>
      <c r="BJ49" s="329"/>
      <c r="BK49" s="327"/>
      <c r="BL49" s="331">
        <f>SUMPRODUCT(LARGE((Input!$D$11:$D$985=20)*Input!$S$11:$S$985,4))</f>
        <v>0</v>
      </c>
      <c r="BM49" s="329"/>
      <c r="BN49" s="332"/>
    </row>
    <row r="50" spans="3:66" ht="13.5" hidden="1" thickBot="1" x14ac:dyDescent="0.3">
      <c r="C50" s="11"/>
      <c r="D50" s="333">
        <f>SUMPRODUCT(LARGE((Input!$D$11:$D$985=1)*Input!$S$11:$S$985,5))</f>
        <v>0</v>
      </c>
      <c r="E50" s="326"/>
      <c r="F50" s="327"/>
      <c r="G50" s="328">
        <f>SUMPRODUCT(LARGE((Input!$D$11:$D$985=2)*Input!$S$11:$S$985,5))</f>
        <v>0</v>
      </c>
      <c r="H50" s="329"/>
      <c r="I50" s="327"/>
      <c r="J50" s="328">
        <f>SUMPRODUCT(LARGE((Input!$D$11:$D$985=3)*Input!$S$11:$S$985,5))</f>
        <v>0</v>
      </c>
      <c r="K50" s="329"/>
      <c r="L50" s="330"/>
      <c r="M50" s="331">
        <f>SUMPRODUCT(LARGE((Input!$D$11:$D$985=4)*Input!$S$11:$S$985,5))</f>
        <v>0</v>
      </c>
      <c r="N50" s="329"/>
      <c r="O50" s="327"/>
      <c r="P50" s="328">
        <f>SUMPRODUCT(LARGE((Input!$D$11:$D$985=5)*Input!$S$11:$S$985,5))</f>
        <v>0</v>
      </c>
      <c r="Q50" s="329"/>
      <c r="R50" s="327"/>
      <c r="S50" s="328">
        <f>SUMPRODUCT(LARGE((Input!$D$11:$D$985=6)*Input!$S$11:$S$985,5))</f>
        <v>0</v>
      </c>
      <c r="T50" s="329"/>
      <c r="U50" s="327"/>
      <c r="V50" s="328">
        <f>SUMPRODUCT(LARGE((Input!$D$11:$D$985=7)*Input!$S$11:$S$985,5))</f>
        <v>0</v>
      </c>
      <c r="W50" s="329"/>
      <c r="X50" s="327"/>
      <c r="Y50" s="328">
        <f>SUMPRODUCT(LARGE((Input!$D$11:$D$985=8)*Input!$S$11:$S$985,5))</f>
        <v>0</v>
      </c>
      <c r="Z50" s="329"/>
      <c r="AA50" s="327"/>
      <c r="AB50" s="328">
        <f>SUMPRODUCT(LARGE((Input!$D$11:$D$985=9)*Input!$S$11:$S$985,5))</f>
        <v>0</v>
      </c>
      <c r="AC50" s="329"/>
      <c r="AD50" s="327"/>
      <c r="AE50" s="328">
        <f>SUMPRODUCT(LARGE((Input!$D$11:$D$985=10)*Input!$S$11:$S$985,5))</f>
        <v>0</v>
      </c>
      <c r="AF50" s="329"/>
      <c r="AG50" s="332"/>
      <c r="AH50" s="331">
        <f>SUMPRODUCT(LARGE((Input!$D$11:$D$985=11)*Input!$S$11:$S$985,5))</f>
        <v>0</v>
      </c>
      <c r="AI50" s="349"/>
      <c r="AJ50" s="349"/>
      <c r="AK50" s="11"/>
      <c r="AL50" s="329"/>
      <c r="AM50" s="327"/>
      <c r="AN50" s="331">
        <f>SUMPRODUCT(LARGE((Input!$D$11:$D$985=12)*Input!$S$11:$S$985,5))</f>
        <v>0</v>
      </c>
      <c r="AO50" s="329"/>
      <c r="AP50" s="327"/>
      <c r="AQ50" s="331">
        <f>SUMPRODUCT(LARGE((Input!$D$11:$D$985=13)*Input!$S$11:$S$985,5))</f>
        <v>0</v>
      </c>
      <c r="AR50" s="329"/>
      <c r="AS50" s="327"/>
      <c r="AT50" s="331">
        <f>SUMPRODUCT(LARGE((Input!$D$11:$D$985=14)*Input!$S$11:$S$985,5))</f>
        <v>0</v>
      </c>
      <c r="AU50" s="329"/>
      <c r="AV50" s="327"/>
      <c r="AW50" s="331">
        <f>SUMPRODUCT(LARGE((Input!$D$11:$D$985=15)*Input!$S$11:$S$985,5))</f>
        <v>0</v>
      </c>
      <c r="AX50" s="329"/>
      <c r="AY50" s="327"/>
      <c r="AZ50" s="331">
        <f>SUMPRODUCT(LARGE((Input!$D$11:$D$985=16)*Input!$S$11:$S$985,5))</f>
        <v>0</v>
      </c>
      <c r="BA50" s="329"/>
      <c r="BB50" s="327"/>
      <c r="BC50" s="331">
        <f>SUMPRODUCT(LARGE((Input!$D$11:$D$985=17)*Input!$S$11:$S$985,5))</f>
        <v>0</v>
      </c>
      <c r="BD50" s="329"/>
      <c r="BE50" s="327"/>
      <c r="BF50" s="331">
        <f>SUMPRODUCT(LARGE((Input!$D$11:$D$985=18)*Input!$S$11:$S$985,5))</f>
        <v>0</v>
      </c>
      <c r="BG50" s="329"/>
      <c r="BH50" s="327"/>
      <c r="BI50" s="331">
        <f>SUMPRODUCT(LARGE((Input!$D$11:$D$985=19)*Input!$S$11:$S$985,5))</f>
        <v>0</v>
      </c>
      <c r="BJ50" s="329"/>
      <c r="BK50" s="327"/>
      <c r="BL50" s="331">
        <f>SUMPRODUCT(LARGE((Input!$D$11:$D$985=20)*Input!$S$11:$S$985,5))</f>
        <v>0</v>
      </c>
      <c r="BM50" s="329"/>
      <c r="BN50" s="332"/>
    </row>
    <row r="51" spans="3:66" ht="13.5" hidden="1" thickBot="1" x14ac:dyDescent="0.3">
      <c r="C51" s="11"/>
      <c r="D51" s="325">
        <f>SUMPRODUCT(LARGE((Input!$D$11:$D$985=1)*Input!$S$11:$S$985,6))</f>
        <v>0</v>
      </c>
      <c r="E51" s="326"/>
      <c r="F51" s="327"/>
      <c r="G51" s="328">
        <f>SUMPRODUCT(LARGE((Input!$D$11:$D$985=2)*Input!$S$11:$S$985,6))</f>
        <v>0</v>
      </c>
      <c r="H51" s="329"/>
      <c r="I51" s="327"/>
      <c r="J51" s="328">
        <f>SUMPRODUCT(LARGE((Input!$D$11:$D$985=3)*Input!$S$11:$S$985,6))</f>
        <v>0</v>
      </c>
      <c r="K51" s="329"/>
      <c r="L51" s="330"/>
      <c r="M51" s="331">
        <f>SUMPRODUCT(LARGE((Input!$D$11:$D$985=4)*Input!$S$11:$S$985,6))</f>
        <v>0</v>
      </c>
      <c r="N51" s="329"/>
      <c r="O51" s="327"/>
      <c r="P51" s="328">
        <f>SUMPRODUCT(LARGE((Input!$D$11:$D$985=5)*Input!$S$11:$S$985,6))</f>
        <v>0</v>
      </c>
      <c r="Q51" s="329"/>
      <c r="R51" s="327"/>
      <c r="S51" s="328">
        <f>SUMPRODUCT(LARGE((Input!$D$11:$D$985=6)*Input!$S$11:$S$985,6))</f>
        <v>0</v>
      </c>
      <c r="T51" s="329"/>
      <c r="U51" s="327"/>
      <c r="V51" s="328">
        <f>SUMPRODUCT(LARGE((Input!$D$11:$D$985=7)*Input!$S$11:$S$985,6))</f>
        <v>0</v>
      </c>
      <c r="W51" s="329"/>
      <c r="X51" s="327"/>
      <c r="Y51" s="328">
        <f>SUMPRODUCT(LARGE((Input!$D$11:$D$985=8)*Input!$S$11:$S$985,6))</f>
        <v>0</v>
      </c>
      <c r="Z51" s="329"/>
      <c r="AA51" s="327"/>
      <c r="AB51" s="328">
        <f>SUMPRODUCT(LARGE((Input!$D$11:$D$985=9)*Input!$S$11:$S$985,6))</f>
        <v>0</v>
      </c>
      <c r="AC51" s="329"/>
      <c r="AD51" s="327"/>
      <c r="AE51" s="328">
        <f>SUMPRODUCT(LARGE((Input!$D$11:$D$985=10)*Input!$S$11:$S$985,6))</f>
        <v>0</v>
      </c>
      <c r="AF51" s="329"/>
      <c r="AG51" s="332"/>
      <c r="AH51" s="331">
        <f>SUMPRODUCT(LARGE((Input!$D$11:$D$985=11)*Input!$S$11:$S$985,6))</f>
        <v>0</v>
      </c>
      <c r="AI51" s="349"/>
      <c r="AJ51" s="349"/>
      <c r="AK51" s="11"/>
      <c r="AL51" s="329"/>
      <c r="AM51" s="327"/>
      <c r="AN51" s="331">
        <f>SUMPRODUCT(LARGE((Input!$D$11:$D$985=12)*Input!$S$11:$S$985,6))</f>
        <v>0</v>
      </c>
      <c r="AO51" s="329"/>
      <c r="AP51" s="327"/>
      <c r="AQ51" s="331">
        <f>SUMPRODUCT(LARGE((Input!$D$11:$D$985=13)*Input!$S$11:$S$985,6))</f>
        <v>0</v>
      </c>
      <c r="AR51" s="329"/>
      <c r="AS51" s="327"/>
      <c r="AT51" s="331">
        <f>SUMPRODUCT(LARGE((Input!$D$11:$D$985=14)*Input!$S$11:$S$985,6))</f>
        <v>0</v>
      </c>
      <c r="AU51" s="329"/>
      <c r="AV51" s="327"/>
      <c r="AW51" s="331">
        <f>SUMPRODUCT(LARGE((Input!$D$11:$D$985=15)*Input!$S$11:$S$985,6))</f>
        <v>0</v>
      </c>
      <c r="AX51" s="329"/>
      <c r="AY51" s="327"/>
      <c r="AZ51" s="331">
        <f>SUMPRODUCT(LARGE((Input!$D$11:$D$985=16)*Input!$S$11:$S$985,6))</f>
        <v>0</v>
      </c>
      <c r="BA51" s="329"/>
      <c r="BB51" s="327"/>
      <c r="BC51" s="331">
        <f>SUMPRODUCT(LARGE((Input!$D$11:$D$985=17)*Input!$S$11:$S$985,6))</f>
        <v>0</v>
      </c>
      <c r="BD51" s="329"/>
      <c r="BE51" s="327"/>
      <c r="BF51" s="331">
        <f>SUMPRODUCT(LARGE((Input!$D$11:$D$985=18)*Input!$S$11:$S$985,6))</f>
        <v>0</v>
      </c>
      <c r="BG51" s="329"/>
      <c r="BH51" s="327"/>
      <c r="BI51" s="331">
        <f>SUMPRODUCT(LARGE((Input!$D$11:$D$985=19)*Input!$S$11:$S$985,6))</f>
        <v>0</v>
      </c>
      <c r="BJ51" s="329"/>
      <c r="BK51" s="327"/>
      <c r="BL51" s="331">
        <f>SUMPRODUCT(LARGE((Input!$D$11:$D$985=20)*Input!$S$11:$S$985,6))</f>
        <v>0</v>
      </c>
      <c r="BM51" s="329"/>
      <c r="BN51" s="332"/>
    </row>
    <row r="52" spans="3:66" ht="13.5" hidden="1" thickBot="1" x14ac:dyDescent="0.3">
      <c r="C52" s="11"/>
      <c r="D52" s="325">
        <f>SUMPRODUCT(LARGE((Input!$D$11:$D$985=1)*Input!$S$11:$S$985,7))</f>
        <v>0</v>
      </c>
      <c r="E52" s="326"/>
      <c r="F52" s="327"/>
      <c r="G52" s="328">
        <f>SUMPRODUCT(LARGE((Input!$D$11:$D$985=2)*Input!$S$11:$S$985,7))</f>
        <v>0</v>
      </c>
      <c r="H52" s="329"/>
      <c r="I52" s="327"/>
      <c r="J52" s="328">
        <f>SUMPRODUCT(LARGE((Input!$D$11:$D$985=3)*Input!$S$11:$S$985,7))</f>
        <v>0</v>
      </c>
      <c r="K52" s="329"/>
      <c r="L52" s="330"/>
      <c r="M52" s="331">
        <f>SUMPRODUCT(LARGE((Input!$D$11:$D$985=4)*Input!$S$11:$S$985,7))</f>
        <v>0</v>
      </c>
      <c r="N52" s="329"/>
      <c r="O52" s="327"/>
      <c r="P52" s="328">
        <f>SUMPRODUCT(LARGE((Input!$D$11:$D$985=5)*Input!$S$11:$S$985,7))</f>
        <v>0</v>
      </c>
      <c r="Q52" s="329"/>
      <c r="R52" s="327"/>
      <c r="S52" s="328">
        <f>SUMPRODUCT(LARGE((Input!$D$11:$D$985=6)*Input!$S$11:$S$985,7))</f>
        <v>0</v>
      </c>
      <c r="T52" s="329"/>
      <c r="U52" s="327"/>
      <c r="V52" s="328">
        <f>SUMPRODUCT(LARGE((Input!$D$11:$D$985=7)*Input!$S$11:$S$985,7))</f>
        <v>0</v>
      </c>
      <c r="W52" s="329"/>
      <c r="X52" s="327"/>
      <c r="Y52" s="328">
        <f>SUMPRODUCT(LARGE((Input!$D$11:$D$985=8)*Input!$S$11:$S$985,7))</f>
        <v>0</v>
      </c>
      <c r="Z52" s="329"/>
      <c r="AA52" s="327"/>
      <c r="AB52" s="328">
        <f>SUMPRODUCT(LARGE((Input!$D$11:$D$985=9)*Input!$S$11:$S$985,7))</f>
        <v>0</v>
      </c>
      <c r="AC52" s="329"/>
      <c r="AD52" s="327"/>
      <c r="AE52" s="328">
        <f>SUMPRODUCT(LARGE((Input!$D$11:$D$985=10)*Input!$S$11:$S$985,7))</f>
        <v>0</v>
      </c>
      <c r="AF52" s="329"/>
      <c r="AG52" s="332"/>
      <c r="AH52" s="331">
        <f>SUMPRODUCT(LARGE((Input!$D$11:$D$985=11)*Input!$S$11:$S$985,7))</f>
        <v>0</v>
      </c>
      <c r="AI52" s="349"/>
      <c r="AJ52" s="349"/>
      <c r="AK52" s="11"/>
      <c r="AL52" s="329"/>
      <c r="AM52" s="327"/>
      <c r="AN52" s="331">
        <f>SUMPRODUCT(LARGE((Input!$D$11:$D$985=12)*Input!$S$11:$S$985,7))</f>
        <v>0</v>
      </c>
      <c r="AO52" s="329"/>
      <c r="AP52" s="327"/>
      <c r="AQ52" s="331">
        <f>SUMPRODUCT(LARGE((Input!$D$11:$D$985=13)*Input!$S$11:$S$985,7))</f>
        <v>0</v>
      </c>
      <c r="AR52" s="329"/>
      <c r="AS52" s="327"/>
      <c r="AT52" s="331">
        <f>SUMPRODUCT(LARGE((Input!$D$11:$D$985=14)*Input!$S$11:$S$985,7))</f>
        <v>0</v>
      </c>
      <c r="AU52" s="329"/>
      <c r="AV52" s="327"/>
      <c r="AW52" s="331">
        <f>SUMPRODUCT(LARGE((Input!$D$11:$D$985=15)*Input!$S$11:$S$985,7))</f>
        <v>0</v>
      </c>
      <c r="AX52" s="329"/>
      <c r="AY52" s="327"/>
      <c r="AZ52" s="331">
        <f>SUMPRODUCT(LARGE((Input!$D$11:$D$985=16)*Input!$S$11:$S$985,7))</f>
        <v>0</v>
      </c>
      <c r="BA52" s="329"/>
      <c r="BB52" s="327"/>
      <c r="BC52" s="331">
        <f>SUMPRODUCT(LARGE((Input!$D$11:$D$985=17)*Input!$S$11:$S$985,7))</f>
        <v>0</v>
      </c>
      <c r="BD52" s="329"/>
      <c r="BE52" s="327"/>
      <c r="BF52" s="331">
        <f>SUMPRODUCT(LARGE((Input!$D$11:$D$985=18)*Input!$S$11:$S$985,7))</f>
        <v>0</v>
      </c>
      <c r="BG52" s="329"/>
      <c r="BH52" s="327"/>
      <c r="BI52" s="331">
        <f>SUMPRODUCT(LARGE((Input!$D$11:$D$985=19)*Input!$S$11:$S$985,7))</f>
        <v>0</v>
      </c>
      <c r="BJ52" s="329"/>
      <c r="BK52" s="327"/>
      <c r="BL52" s="331">
        <f>SUMPRODUCT(LARGE((Input!$D$11:$D$985=20)*Input!$S$11:$S$985,7))</f>
        <v>0</v>
      </c>
      <c r="BM52" s="329"/>
      <c r="BN52" s="332"/>
    </row>
    <row r="53" spans="3:66" ht="13.5" hidden="1" thickBot="1" x14ac:dyDescent="0.3">
      <c r="C53" s="11"/>
      <c r="D53" s="325">
        <f>SUMPRODUCT(LARGE((Input!$D$11:$D$985=1)*Input!$S$11:$S$985,8))</f>
        <v>0</v>
      </c>
      <c r="E53" s="326"/>
      <c r="F53" s="327"/>
      <c r="G53" s="328">
        <f>SUMPRODUCT(LARGE((Input!$D$11:$D$985=2)*Input!$S$11:$S$985,8))</f>
        <v>0</v>
      </c>
      <c r="H53" s="329"/>
      <c r="I53" s="327"/>
      <c r="J53" s="328">
        <f>SUMPRODUCT(LARGE((Input!$D$11:$D$985=3)*Input!$S$11:$S$985,8))</f>
        <v>0</v>
      </c>
      <c r="K53" s="329"/>
      <c r="L53" s="330"/>
      <c r="M53" s="331">
        <f>SUMPRODUCT(LARGE((Input!$D$11:$D$985=4)*Input!$S$11:$S$985,8))</f>
        <v>0</v>
      </c>
      <c r="N53" s="329"/>
      <c r="O53" s="327"/>
      <c r="P53" s="328">
        <f>SUMPRODUCT(LARGE((Input!$D$11:$D$985=5)*Input!$S$11:$S$985,8))</f>
        <v>0</v>
      </c>
      <c r="Q53" s="329"/>
      <c r="R53" s="327"/>
      <c r="S53" s="328">
        <f>SUMPRODUCT(LARGE((Input!$D$11:$D$985=6)*Input!$S$11:$S$985,8))</f>
        <v>0</v>
      </c>
      <c r="T53" s="329"/>
      <c r="U53" s="327"/>
      <c r="V53" s="328">
        <f>SUMPRODUCT(LARGE((Input!$D$11:$D$985=7)*Input!$S$11:$S$985,8))</f>
        <v>0</v>
      </c>
      <c r="W53" s="329"/>
      <c r="X53" s="327"/>
      <c r="Y53" s="328">
        <f>SUMPRODUCT(LARGE((Input!$D$11:$D$985=8)*Input!$S$11:$S$985,8))</f>
        <v>0</v>
      </c>
      <c r="Z53" s="329"/>
      <c r="AA53" s="327"/>
      <c r="AB53" s="328">
        <f>SUMPRODUCT(LARGE((Input!$D$11:$D$985=9)*Input!$S$11:$S$985,8))</f>
        <v>0</v>
      </c>
      <c r="AC53" s="329"/>
      <c r="AD53" s="327"/>
      <c r="AE53" s="328">
        <f>SUMPRODUCT(LARGE((Input!$D$11:$D$985=10)*Input!$S$11:$S$985,8))</f>
        <v>0</v>
      </c>
      <c r="AF53" s="329"/>
      <c r="AG53" s="332"/>
      <c r="AH53" s="331">
        <f>SUMPRODUCT(LARGE((Input!$D$11:$D$985=11)*Input!$S$11:$S$985,8))</f>
        <v>0</v>
      </c>
      <c r="AI53" s="349"/>
      <c r="AJ53" s="349"/>
      <c r="AK53" s="11"/>
      <c r="AL53" s="329"/>
      <c r="AM53" s="327"/>
      <c r="AN53" s="331">
        <f>SUMPRODUCT(LARGE((Input!$D$11:$D$985=12)*Input!$S$11:$S$985,8))</f>
        <v>0</v>
      </c>
      <c r="AO53" s="329"/>
      <c r="AP53" s="327"/>
      <c r="AQ53" s="331">
        <f>SUMPRODUCT(LARGE((Input!$D$11:$D$985=13)*Input!$S$11:$S$985,8))</f>
        <v>0</v>
      </c>
      <c r="AR53" s="329"/>
      <c r="AS53" s="327"/>
      <c r="AT53" s="331">
        <f>SUMPRODUCT(LARGE((Input!$D$11:$D$985=14)*Input!$S$11:$S$985,8))</f>
        <v>0</v>
      </c>
      <c r="AU53" s="329"/>
      <c r="AV53" s="327"/>
      <c r="AW53" s="331">
        <f>SUMPRODUCT(LARGE((Input!$D$11:$D$985=15)*Input!$S$11:$S$985,8))</f>
        <v>0</v>
      </c>
      <c r="AX53" s="329"/>
      <c r="AY53" s="327"/>
      <c r="AZ53" s="331">
        <f>SUMPRODUCT(LARGE((Input!$D$11:$D$985=16)*Input!$S$11:$S$985,8))</f>
        <v>0</v>
      </c>
      <c r="BA53" s="329"/>
      <c r="BB53" s="327"/>
      <c r="BC53" s="331">
        <f>SUMPRODUCT(LARGE((Input!$D$11:$D$985=17)*Input!$S$11:$S$985,8))</f>
        <v>0</v>
      </c>
      <c r="BD53" s="329"/>
      <c r="BE53" s="327"/>
      <c r="BF53" s="331">
        <f>SUMPRODUCT(LARGE((Input!$D$11:$D$985=18)*Input!$S$11:$S$985,8))</f>
        <v>0</v>
      </c>
      <c r="BG53" s="329"/>
      <c r="BH53" s="327"/>
      <c r="BI53" s="331">
        <f>SUMPRODUCT(LARGE((Input!$D$11:$D$985=19)*Input!$S$11:$S$985,8))</f>
        <v>0</v>
      </c>
      <c r="BJ53" s="329"/>
      <c r="BK53" s="327"/>
      <c r="BL53" s="331">
        <f>SUMPRODUCT(LARGE((Input!$D$11:$D$985=20)*Input!$S$11:$S$985,8))</f>
        <v>0</v>
      </c>
      <c r="BM53" s="329"/>
      <c r="BN53" s="332"/>
    </row>
    <row r="54" spans="3:66" ht="13.5" hidden="1" thickBot="1" x14ac:dyDescent="0.3">
      <c r="C54" s="11"/>
      <c r="D54" s="325">
        <f>SUMPRODUCT(LARGE((Input!$D$11:$D$985=1)*Input!$S$11:$S$985,9))</f>
        <v>0</v>
      </c>
      <c r="E54" s="326"/>
      <c r="F54" s="327"/>
      <c r="G54" s="328">
        <f>SUMPRODUCT(LARGE((Input!$D$11:$D$985=2)*Input!$S$11:$S$985,9))</f>
        <v>0</v>
      </c>
      <c r="H54" s="329"/>
      <c r="I54" s="327"/>
      <c r="J54" s="328">
        <f>SUMPRODUCT(LARGE((Input!$D$11:$D$985=3)*Input!$S$11:$S$985,9))</f>
        <v>0</v>
      </c>
      <c r="K54" s="329"/>
      <c r="L54" s="330"/>
      <c r="M54" s="331">
        <f>SUMPRODUCT(LARGE((Input!$D$11:$D$985=4)*Input!$S$11:$S$985,9))</f>
        <v>0</v>
      </c>
      <c r="N54" s="329"/>
      <c r="O54" s="327"/>
      <c r="P54" s="328">
        <f>SUMPRODUCT(LARGE((Input!$D$11:$D$985=5)*Input!$S$11:$S$985,9))</f>
        <v>0</v>
      </c>
      <c r="Q54" s="329"/>
      <c r="R54" s="327"/>
      <c r="S54" s="328">
        <f>SUMPRODUCT(LARGE((Input!$D$11:$D$985=6)*Input!$S$11:$S$985,9))</f>
        <v>0</v>
      </c>
      <c r="T54" s="329"/>
      <c r="U54" s="327"/>
      <c r="V54" s="328">
        <f>SUMPRODUCT(LARGE((Input!$D$11:$D$985=7)*Input!$S$11:$S$985,9))</f>
        <v>0</v>
      </c>
      <c r="W54" s="329"/>
      <c r="X54" s="327"/>
      <c r="Y54" s="328">
        <f>SUMPRODUCT(LARGE((Input!$D$11:$D$985=8)*Input!$S$11:$S$985,9))</f>
        <v>0</v>
      </c>
      <c r="Z54" s="329"/>
      <c r="AA54" s="327"/>
      <c r="AB54" s="328">
        <f>SUMPRODUCT(LARGE((Input!$D$11:$D$985=9)*Input!$S$11:$S$985,9))</f>
        <v>0</v>
      </c>
      <c r="AC54" s="329"/>
      <c r="AD54" s="327"/>
      <c r="AE54" s="328">
        <f>SUMPRODUCT(LARGE((Input!$D$11:$D$985=10)*Input!$S$11:$S$985,9))</f>
        <v>0</v>
      </c>
      <c r="AF54" s="329"/>
      <c r="AG54" s="332"/>
      <c r="AH54" s="331">
        <f>SUMPRODUCT(LARGE((Input!$D$11:$D$985=11)*Input!$S$11:$S$985,9))</f>
        <v>0</v>
      </c>
      <c r="AI54" s="349"/>
      <c r="AJ54" s="349"/>
      <c r="AK54" s="11"/>
      <c r="AL54" s="329"/>
      <c r="AM54" s="327"/>
      <c r="AN54" s="331">
        <f>SUMPRODUCT(LARGE((Input!$D$11:$D$985=12)*Input!$S$11:$S$985,9))</f>
        <v>0</v>
      </c>
      <c r="AO54" s="329"/>
      <c r="AP54" s="327"/>
      <c r="AQ54" s="331">
        <f>SUMPRODUCT(LARGE((Input!$D$11:$D$985=13)*Input!$S$11:$S$985,9))</f>
        <v>0</v>
      </c>
      <c r="AR54" s="329"/>
      <c r="AS54" s="327"/>
      <c r="AT54" s="331">
        <f>SUMPRODUCT(LARGE((Input!$D$11:$D$985=14)*Input!$S$11:$S$985,9))</f>
        <v>0</v>
      </c>
      <c r="AU54" s="329"/>
      <c r="AV54" s="327"/>
      <c r="AW54" s="331">
        <f>SUMPRODUCT(LARGE((Input!$D$11:$D$985=15)*Input!$S$11:$S$985,9))</f>
        <v>0</v>
      </c>
      <c r="AX54" s="329"/>
      <c r="AY54" s="327"/>
      <c r="AZ54" s="331">
        <f>SUMPRODUCT(LARGE((Input!$D$11:$D$985=16)*Input!$S$11:$S$985,9))</f>
        <v>0</v>
      </c>
      <c r="BA54" s="329"/>
      <c r="BB54" s="327"/>
      <c r="BC54" s="331">
        <f>SUMPRODUCT(LARGE((Input!$D$11:$D$985=17)*Input!$S$11:$S$985,9))</f>
        <v>0</v>
      </c>
      <c r="BD54" s="329"/>
      <c r="BE54" s="327"/>
      <c r="BF54" s="331">
        <f>SUMPRODUCT(LARGE((Input!$D$11:$D$985=18)*Input!$S$11:$S$985,9))</f>
        <v>0</v>
      </c>
      <c r="BG54" s="329"/>
      <c r="BH54" s="327"/>
      <c r="BI54" s="331">
        <f>SUMPRODUCT(LARGE((Input!$D$11:$D$985=19)*Input!$S$11:$S$985,9))</f>
        <v>0</v>
      </c>
      <c r="BJ54" s="329"/>
      <c r="BK54" s="327"/>
      <c r="BL54" s="331">
        <f>SUMPRODUCT(LARGE((Input!$D$11:$D$985=20)*Input!$S$11:$S$985,9))</f>
        <v>0</v>
      </c>
      <c r="BM54" s="329"/>
      <c r="BN54" s="332"/>
    </row>
    <row r="55" spans="3:66" ht="13.5" hidden="1" thickBot="1" x14ac:dyDescent="0.3">
      <c r="C55" s="11"/>
      <c r="D55" s="325">
        <f>SUMPRODUCT(LARGE((Input!$D$11:$D$985=1)*Input!$S$11:$S$985,10))</f>
        <v>0</v>
      </c>
      <c r="E55" s="334"/>
      <c r="F55" s="335"/>
      <c r="G55" s="328">
        <f>SUMPRODUCT(LARGE((Input!$D$11:$D$985=2)*Input!$S$11:$S$985,10))</f>
        <v>0</v>
      </c>
      <c r="H55" s="336"/>
      <c r="I55" s="335"/>
      <c r="J55" s="328">
        <f>SUMPRODUCT(LARGE((Input!$D$11:$D$985=3)*Input!$S$11:$S$985,10))</f>
        <v>0</v>
      </c>
      <c r="K55" s="336"/>
      <c r="L55" s="337"/>
      <c r="M55" s="331">
        <f>SUMPRODUCT(LARGE((Input!$D$11:$D$985=4)*Input!$S$11:$S$985,10))</f>
        <v>0</v>
      </c>
      <c r="N55" s="336"/>
      <c r="O55" s="335"/>
      <c r="P55" s="328">
        <f>SUMPRODUCT(LARGE((Input!$D$11:$D$985=5)*Input!$S$11:$S$985,10))</f>
        <v>0</v>
      </c>
      <c r="Q55" s="336"/>
      <c r="R55" s="335"/>
      <c r="S55" s="328">
        <f>SUMPRODUCT(LARGE((Input!$D$11:$D$985=6)*Input!$S$11:$S$985,10))</f>
        <v>0</v>
      </c>
      <c r="T55" s="336"/>
      <c r="U55" s="335"/>
      <c r="V55" s="328">
        <f>SUMPRODUCT(LARGE((Input!$D$11:$D$985=7)*Input!$S$11:$S$985,10))</f>
        <v>0</v>
      </c>
      <c r="W55" s="336"/>
      <c r="X55" s="335"/>
      <c r="Y55" s="328">
        <f>SUMPRODUCT(LARGE((Input!$D$11:$D$985=8)*Input!$S$11:$S$985,10))</f>
        <v>0</v>
      </c>
      <c r="Z55" s="336"/>
      <c r="AA55" s="335"/>
      <c r="AB55" s="328">
        <f>SUMPRODUCT(LARGE((Input!$D$11:$D$985=9)*Input!$S$11:$S$985,10))</f>
        <v>0</v>
      </c>
      <c r="AC55" s="336"/>
      <c r="AD55" s="335"/>
      <c r="AE55" s="328">
        <f>SUMPRODUCT(LARGE((Input!$D$11:$D$985=10)*Input!$S$11:$S$985,10))</f>
        <v>0</v>
      </c>
      <c r="AF55" s="336"/>
      <c r="AG55" s="338"/>
      <c r="AH55" s="331">
        <f>SUMPRODUCT(LARGE((Input!$D$11:$D$985=11)*Input!$S$11:$S$985,10))</f>
        <v>0</v>
      </c>
      <c r="AI55" s="349"/>
      <c r="AJ55" s="349"/>
      <c r="AK55" s="11"/>
      <c r="AL55" s="336"/>
      <c r="AM55" s="335"/>
      <c r="AN55" s="331">
        <f>SUMPRODUCT(LARGE((Input!$D$11:$D$985=12)*Input!$S$11:$S$985,10))</f>
        <v>0</v>
      </c>
      <c r="AO55" s="336"/>
      <c r="AP55" s="335"/>
      <c r="AQ55" s="331">
        <f>SUMPRODUCT(LARGE((Input!$D$11:$D$985=13)*Input!$S$11:$S$985,10))</f>
        <v>0</v>
      </c>
      <c r="AR55" s="336"/>
      <c r="AS55" s="335"/>
      <c r="AT55" s="331">
        <f>SUMPRODUCT(LARGE((Input!$D$11:$D$985=14)*Input!$S$11:$S$985,10))</f>
        <v>0</v>
      </c>
      <c r="AU55" s="336"/>
      <c r="AV55" s="335"/>
      <c r="AW55" s="331">
        <f>SUMPRODUCT(LARGE((Input!$D$11:$D$985=15)*Input!$S$11:$S$985,10))</f>
        <v>0</v>
      </c>
      <c r="AX55" s="336"/>
      <c r="AY55" s="335"/>
      <c r="AZ55" s="331">
        <f>SUMPRODUCT(LARGE((Input!$D$11:$D$985=16)*Input!$S$11:$S$985,10))</f>
        <v>0</v>
      </c>
      <c r="BA55" s="336"/>
      <c r="BB55" s="335"/>
      <c r="BC55" s="331">
        <f>SUMPRODUCT(LARGE((Input!$D$11:$D$985=17)*Input!$S$11:$S$985,10))</f>
        <v>0</v>
      </c>
      <c r="BD55" s="336"/>
      <c r="BE55" s="335"/>
      <c r="BF55" s="331">
        <f>SUMPRODUCT(LARGE((Input!$D$11:$D$985=18)*Input!$S$11:$S$985,10))</f>
        <v>0</v>
      </c>
      <c r="BG55" s="336"/>
      <c r="BH55" s="335"/>
      <c r="BI55" s="331">
        <f>SUMPRODUCT(LARGE((Input!$D$11:$D$985=19)*Input!$S$11:$S$985,10))</f>
        <v>0</v>
      </c>
      <c r="BJ55" s="336"/>
      <c r="BK55" s="335"/>
      <c r="BL55" s="331">
        <f>SUMPRODUCT(LARGE((Input!$D$11:$D$985=20)*Input!$S$11:$S$985,10))</f>
        <v>0</v>
      </c>
      <c r="BM55" s="336"/>
      <c r="BN55" s="338"/>
    </row>
    <row r="56" spans="3:66" ht="16" customHeight="1" thickBot="1" x14ac:dyDescent="0.3">
      <c r="C56" s="644" t="s">
        <v>37</v>
      </c>
      <c r="D56" s="45"/>
      <c r="E56" s="46" t="str">
        <f>IF(E57&gt;0,RANK(E57,($E57,$H57,$K57,$N57,$Q57,$T57,$W57,$Z57,$AC57,$AF57,$AL57,$AO57,$AR57,$AU57,$AX57,$BA57,$BD57,$BG57,$BJ57,$BM57),0)," ")</f>
        <v xml:space="preserve"> </v>
      </c>
      <c r="F56" s="647" t="str">
        <f>IF(E56&gt;0,IF(ISERROR(($C$1*2)-((E56-1)*2))," ",(($C$1*2)-((E56-1)*2))))</f>
        <v xml:space="preserve"> </v>
      </c>
      <c r="G56" s="47"/>
      <c r="H56" s="48" t="str">
        <f>IF(H57&gt;0,RANK(H57,($E57,$H57,$K57,$N57,$Q57,$T57,$W57,$Z57,$AC57,$AF57,$AL57,$AO57,$AR57,$AU57,$AX57,$BA57,$BD57,$BG57,$BJ57,$BM57),0)," ")</f>
        <v xml:space="preserve"> </v>
      </c>
      <c r="I56" s="647" t="str">
        <f>IF(H56&gt;0,IF(ISERROR(($C$1*2)-((H56-1)*2))," ",(($C$1*2)-((H56-1)*2))))</f>
        <v xml:space="preserve"> </v>
      </c>
      <c r="J56" s="47"/>
      <c r="K56" s="48" t="str">
        <f>IF(K57&gt;0,RANK(K57,($E57,$H57,$K57,$N57,$Q57,$T57,$W57,$Z57,$AC57,$AF57,$AL57,$AO57,$AR57,$AU57,$AX57,$BA57,$BD57,$BG57,$BJ57,$BM57),0)," ")</f>
        <v xml:space="preserve"> </v>
      </c>
      <c r="L56" s="673" t="str">
        <f>IF(K56&gt;0,IF(ISERROR(($C$1*2)-((K56-1)*2))," ",(($C$1*2)-((K56-1)*2))))</f>
        <v xml:space="preserve"> </v>
      </c>
      <c r="M56" s="49"/>
      <c r="N56" s="48" t="str">
        <f>IF(N57&gt;0,RANK(N57,($E57,$H57,$K57,$N57,$Q57,$T57,$W57,$Z57,$AC57,$AF57,$AL57,$AO57,$AR57,$AU57,$AX57,$BA57,$BD57,$BG57,$BJ57,$BM57),0)," ")</f>
        <v xml:space="preserve"> </v>
      </c>
      <c r="O56" s="647" t="str">
        <f>IF(N56&gt;0,IF(ISERROR(($C$1*2)-((N56-1)*2))," ",(($C$1*2)-((N56-1)*2))))</f>
        <v xml:space="preserve"> </v>
      </c>
      <c r="P56" s="47"/>
      <c r="Q56" s="48" t="str">
        <f>IF(Q57&gt;0,RANK(Q57,($E57,$H57,$K57,$N57,$Q57,$T57,$W57,$Z57,$AC57,$AF57,$AL57,$AO57,$AR57,$AU57,$AX57,$BA57,$BD57,$BG57,$BJ57,$BM57),0)," ")</f>
        <v xml:space="preserve"> </v>
      </c>
      <c r="R56" s="647" t="str">
        <f>IF(Q56&gt;0,IF(ISERROR(($C$1*2)-((Q56-1)*2))," ",(($C$1*2)-((Q56-1)*2))))</f>
        <v xml:space="preserve"> </v>
      </c>
      <c r="S56" s="47"/>
      <c r="T56" s="48" t="str">
        <f>IF(T57&gt;0,RANK(T57,($E57,$H57,$K57,$N57,$Q57,$T57,$W57,$Z57,$AC57,$AF57,$AL57,$AO57,$AR57,$AU57,$AX57,$BA57,$BD57,$BG57,$BJ57,$BM57),0)," ")</f>
        <v xml:space="preserve"> </v>
      </c>
      <c r="U56" s="647" t="str">
        <f>IF(T56&gt;0,IF(ISERROR(($C$1*2)-((T56-1)*2))," ",(($C$1*2)-((T56-1)*2))))</f>
        <v xml:space="preserve"> </v>
      </c>
      <c r="V56" s="47"/>
      <c r="W56" s="48" t="str">
        <f>IF(W57&gt;0,RANK(W57,($E57,$H57,$K57,$N57,$Q57,$T57,$W57,$Z57,$AC57,$AF57,$AL57,$AO57,$AR57,$AU57,$AX57,$BA57,$BD57,$BG57,$BJ57,$BM57),0)," ")</f>
        <v xml:space="preserve"> </v>
      </c>
      <c r="X56" s="647" t="str">
        <f>IF(W56&gt;0,IF(ISERROR(($C$1*2)-((W56-1)*2))," ",(($C$1*2)-((W56-1)*2))))</f>
        <v xml:space="preserve"> </v>
      </c>
      <c r="Y56" s="47"/>
      <c r="Z56" s="48" t="str">
        <f>IF(Z57&gt;0,RANK(Z57,($E57,$H57,$K57,$N57,$Q57,$T57,$W57,$Z57,$AC57,$AF57,$AL57,$AO57,$AR57,$AU57,$AX57,$BA57,$BD57,$BG57,$BJ57,$BM57),0)," ")</f>
        <v xml:space="preserve"> </v>
      </c>
      <c r="AA56" s="647" t="str">
        <f>IF(Z56&gt;0,IF(ISERROR(($C$1*2)-((Z56-1)*2))," ",(($C$1*2)-((Z56-1)*2))))</f>
        <v xml:space="preserve"> </v>
      </c>
      <c r="AB56" s="47"/>
      <c r="AC56" s="48" t="str">
        <f>IF(AC57&gt;0,RANK(AC57,($E57,$H57,$K57,$N57,$Q57,$T57,$W57,$Z57,$AC57,$AF57,$AL57,$AO57,$AR57,$AU57,$AX57,$BA57,$BD57,$BG57,$BJ57,$BM57),0)," ")</f>
        <v xml:space="preserve"> </v>
      </c>
      <c r="AD56" s="647" t="str">
        <f>IF(AC56&gt;0,IF(ISERROR(($C$1*2)-((AC56-1)*2))," ",(($C$1*2)-((AC56-1)*2))))</f>
        <v xml:space="preserve"> </v>
      </c>
      <c r="AE56" s="47"/>
      <c r="AF56" s="48" t="str">
        <f>IF(AF57&gt;0,RANK(AF57,($E57,$H57,$K57,$N57,$Q57,$T57,$W57,$Z57,$AC57,$AF57,$AL57,$AO57,$AR57,$AU57,$AX57,$BA57,$BD57,$BG57,$BJ57,$BM57),0)," ")</f>
        <v xml:space="preserve"> </v>
      </c>
      <c r="AG56" s="668" t="str">
        <f>IF(AF56&gt;0,IF(ISERROR(($C$1*2)-((AF56-1)*2))," ",(($C$1*2)-((AF56-1)*2))))</f>
        <v xml:space="preserve"> </v>
      </c>
      <c r="AH56" s="49"/>
      <c r="AI56" s="347"/>
      <c r="AJ56" s="347"/>
      <c r="AK56" s="644" t="s">
        <v>37</v>
      </c>
      <c r="AL56" s="48" t="str">
        <f>IF(AL57&gt;0,RANK(AL57,($E57,$H57,$K57,$N57,$Q57,$T57,$W57,$Z57,$AC57,$AF57,$AL57,$AO57,$AR57,$AU57,$AX57,$BA57,$BD57,$BG57,$BJ57,$BM57),0)," ")</f>
        <v xml:space="preserve"> </v>
      </c>
      <c r="AM56" s="647" t="str">
        <f>IF(AL56&gt;0,IF(ISERROR(($C$1*2)-((AL56-1)*2))," ",(($C$1*2)-((AL56-1)*2))))</f>
        <v xml:space="preserve"> </v>
      </c>
      <c r="AN56" s="49"/>
      <c r="AO56" s="48" t="str">
        <f>IF(AO57&gt;0,RANK(AO57,($E57,$H57,$K57,$N57,$Q57,$T57,$W57,$Z57,$AC57,$AF57,$AL57,$AO57,$AR57,$AU57,$AX57,$BA57,$BD57,$BG57,$BJ57,$BM57),0)," ")</f>
        <v xml:space="preserve"> </v>
      </c>
      <c r="AP56" s="647" t="str">
        <f>IF(AO56&gt;0,IF(ISERROR(($C$1*2)-((AO56-1)*2))," ",(($C$1*2)-((AO56-1)*2))))</f>
        <v xml:space="preserve"> </v>
      </c>
      <c r="AQ56" s="49"/>
      <c r="AR56" s="48" t="str">
        <f>IF(AR57&gt;0,RANK(AR57,($E57,$H57,$K57,$N57,$Q57,$T57,$W57,$Z57,$AC57,$AF57,$AL57,$AO57,$AR57,$AU57,$AX57,$BA57,$BD57,$BG57,$BJ57,$BM57),0)," ")</f>
        <v xml:space="preserve"> </v>
      </c>
      <c r="AS56" s="647" t="str">
        <f>IF(AR56&gt;0,IF(ISERROR(($C$1*2)-((AR56-1)*2))," ",(($C$1*2)-((AR56-1)*2))))</f>
        <v xml:space="preserve"> </v>
      </c>
      <c r="AT56" s="49"/>
      <c r="AU56" s="48" t="str">
        <f>IF(AU57&gt;0,RANK(AU57,($E57,$H57,$K57,$N57,$Q57,$T57,$W57,$Z57,$AC57,$AF57,$AL57,$AO57,$AR57,$AU57,$AX57,$BA57,$BD57,$BG57,$BJ57,$BM57),0)," ")</f>
        <v xml:space="preserve"> </v>
      </c>
      <c r="AV56" s="647" t="str">
        <f>IF(AU56&gt;0,IF(ISERROR(($C$1*2)-((AU56-1)*2))," ",(($C$1*2)-((AU56-1)*2))))</f>
        <v xml:space="preserve"> </v>
      </c>
      <c r="AW56" s="49"/>
      <c r="AX56" s="48" t="str">
        <f>IF(AX57&gt;0,RANK(AX57,($E57,$H57,$K57,$N57,$Q57,$T57,$W57,$Z57,$AC57,$AF57,$AL57,$AO57,$AR57,$AU57,$AX57,$BA57,$BD57,$BG57,$BJ57,$BM57),0)," ")</f>
        <v xml:space="preserve"> </v>
      </c>
      <c r="AY56" s="647" t="str">
        <f>IF(AX56&gt;0,IF(ISERROR(($C$1*2)-((AX56-1)*2))," ",(($C$1*2)-((AX56-1)*2))))</f>
        <v xml:space="preserve"> </v>
      </c>
      <c r="AZ56" s="49"/>
      <c r="BA56" s="48" t="str">
        <f>IF(BA57&gt;0,RANK(BA57,($E57,$H57,$K57,$N57,$Q57,$T57,$W57,$Z57,$AC57,$AF57,$AL57,$AO57,$AR57,$AU57,$AX57,$BA57,$BD57,$BG57,$BJ57,$BM57),0)," ")</f>
        <v xml:space="preserve"> </v>
      </c>
      <c r="BB56" s="647" t="str">
        <f>IF(BA56&gt;0,IF(ISERROR(($C$1*2)-((BA56-1)*2))," ",(($C$1*2)-((BA56-1)*2))))</f>
        <v xml:space="preserve"> </v>
      </c>
      <c r="BC56" s="49"/>
      <c r="BD56" s="48" t="str">
        <f>IF(BD57&gt;0,RANK(BD57,($E57,$H57,$K57,$N57,$Q57,$T57,$W57,$Z57,$AC57,$AF57,$AL57,$AO57,$AR57,$AU57,$AX57,$BA57,$BD57,$BG57,$BJ57,$BM57),0)," ")</f>
        <v xml:space="preserve"> </v>
      </c>
      <c r="BE56" s="647" t="str">
        <f>IF(BD56&gt;0,IF(ISERROR(($C$1*2)-((BD56-1)*2))," ",(($C$1*2)-((BD56-1)*2))))</f>
        <v xml:space="preserve"> </v>
      </c>
      <c r="BF56" s="49"/>
      <c r="BG56" s="48" t="str">
        <f>IF(BG57&gt;0,RANK(BG57,($E57,$H57,$K57,$N57,$Q57,$T57,$W57,$Z57,$AC57,$AF57,$AL57,$AO57,$AR57,$AU57,$AX57,$BA57,$BD57,$BG57,$BJ57,$BM57),0)," ")</f>
        <v xml:space="preserve"> </v>
      </c>
      <c r="BH56" s="647" t="str">
        <f>IF(BG56&gt;0,IF(ISERROR(($C$1*2)-((BG56-1)*2))," ",(($C$1*2)-((BG56-1)*2))))</f>
        <v xml:space="preserve"> </v>
      </c>
      <c r="BI56" s="49"/>
      <c r="BJ56" s="48" t="str">
        <f>IF(BJ57&gt;0,RANK(BJ57,($E57,$H57,$K57,$N57,$Q57,$T57,$W57,$Z57,$AC57,$AF57,$AL57,$AO57,$AR57,$AU57,$AX57,$BA57,$BD57,$BG57,$BJ57,$BM57),0)," ")</f>
        <v xml:space="preserve"> </v>
      </c>
      <c r="BK56" s="647" t="str">
        <f>IF(BJ56&gt;0,IF(ISERROR(($C$1*2)-((BJ56-1)*2))," ",(($C$1*2)-((BJ56-1)*2))))</f>
        <v xml:space="preserve"> </v>
      </c>
      <c r="BL56" s="49"/>
      <c r="BM56" s="48" t="str">
        <f>IF(BM57&gt;0,RANK(BM57,($E57,$H57,$K57,$N57,$Q57,$T57,$W57,$Z57,$AC57,$AF57,$AL57,$AO57,$AR57,$AU57,$AX57,$BA57,$BD57,$BG57,$BJ57,$BM57),0)," ")</f>
        <v xml:space="preserve"> </v>
      </c>
      <c r="BN56" s="668" t="str">
        <f>IF(BM56&gt;0,IF(ISERROR(($C$1*2)-((BM56-1)*2))," ",(($C$1*2)-((BM56-1)*2))))</f>
        <v xml:space="preserve"> </v>
      </c>
    </row>
    <row r="57" spans="3:66" ht="16" customHeight="1" thickBot="1" x14ac:dyDescent="0.3">
      <c r="C57" s="644"/>
      <c r="D57" s="50">
        <f>SUMPRODUCT(LARGE((Input!$D$11:$D$985=1)*Input!$T$11:$T$985,1))</f>
        <v>0</v>
      </c>
      <c r="E57" s="51">
        <f>IF($A$1=4,SUM(D57:D60),IF($A$1=5,SUM(D57:D61),IF($A$1=6,SUM(D57:D62),IF($A$1=7,SUM(D57:D63),IF($A$1=8,SUM(D57:D64),IF($A$1=9,SUM(D57:D65),IF($A$1=10,SUM(D57:D66))))))))</f>
        <v>0</v>
      </c>
      <c r="F57" s="648"/>
      <c r="G57" s="52">
        <f>SUMPRODUCT(LARGE((Input!D$11:D$985=2)*Input!T$11:T$985,1))</f>
        <v>0</v>
      </c>
      <c r="H57" s="53">
        <f>IF($A$1=4,SUM(G57:G60),IF($A$1=5,SUM(G57:G61),IF($A$1=6,SUM(G57:G62),IF($A$1=7,SUM(G57:G63),IF($A$1=8,SUM(G57:G64),IF($A$1=9,SUM(G57:G65),IF($A$1=10,SUM(G57:G66))))))))</f>
        <v>0</v>
      </c>
      <c r="I57" s="648"/>
      <c r="J57" s="52">
        <f>SUMPRODUCT(LARGE((Input!D$11:D$985=3)*Input!T$11:T$985,1))</f>
        <v>0</v>
      </c>
      <c r="K57" s="53">
        <f>IF($A$1=4,SUM(J57:J60),IF($A$1=5,SUM(J57:J61),IF($A$1=6,SUM(J57:J62),IF($A$1=7,SUM(J57:J63),IF($A$1=8,SUM(J57:J64),IF($A$1=9,SUM(J57:J65),IF($A$1=10,SUM(J57:J66))))))))</f>
        <v>0</v>
      </c>
      <c r="L57" s="674"/>
      <c r="M57" s="54">
        <f>SUMPRODUCT(LARGE((Input!D$11:D$985=4)*Input!T$11:T$985,1))</f>
        <v>0</v>
      </c>
      <c r="N57" s="53">
        <f>IF($A$1=4,SUM(M57:M60),IF($A$1=5,SUM(M57:M61),IF($A$1=6,SUM(M57:M62),IF($A$1=7,SUM(M57:M63),IF($A$1=8,SUM(M57:M64),IF($A$1=9,SUM(M57:M65),IF($A$1=10,SUM(M57:M66))))))))</f>
        <v>0</v>
      </c>
      <c r="O57" s="648"/>
      <c r="P57" s="52">
        <f>SUMPRODUCT(LARGE((Input!D$11:D$985=5)*Input!T$11:T$985,1))</f>
        <v>0</v>
      </c>
      <c r="Q57" s="53">
        <f>IF($A$1=4,SUM(P57:P60),IF($A$1=5,SUM(P57:P61),IF($A$1=6,SUM(P57:P62),IF($A$1=7,SUM(P57:P63),IF($A$1=8,SUM(P57:P64),IF($A$1=9,SUM(P57:P65),IF($A$1=10,SUM(P57:P66))))))))</f>
        <v>0</v>
      </c>
      <c r="R57" s="648"/>
      <c r="S57" s="52">
        <f>SUMPRODUCT(LARGE((Input!D$11:D$985=6)*Input!T$11:T$985,1))</f>
        <v>0</v>
      </c>
      <c r="T57" s="53">
        <f>IF($A$1=4,SUM(S57:S60),IF($A$1=5,SUM(S57:S61),IF($A$1=6,SUM(S57:S62),IF($A$1=7,SUM(S57:S63),IF($A$1=8,SUM(S57:S64),IF($A$1=9,SUM(S57:S65),IF($A$1=10,SUM(S57:S66))))))))</f>
        <v>0</v>
      </c>
      <c r="U57" s="648"/>
      <c r="V57" s="52">
        <f>SUMPRODUCT(LARGE((Input!D$11:D$985=7)*Input!T$11:T$985,1))</f>
        <v>0</v>
      </c>
      <c r="W57" s="53">
        <f>IF($A$1=4,SUM(V57:V60),IF($A$1=5,SUM(V57:V61),IF($A$1=6,SUM(V57:V62),IF($A$1=7,SUM(V57:V63),IF($A$1=8,SUM(V57:V64),IF($A$1=9,SUM(V57:V65),IF($A$1=10,SUM(V57:V66))))))))</f>
        <v>0</v>
      </c>
      <c r="X57" s="648"/>
      <c r="Y57" s="52">
        <f>SUMPRODUCT(LARGE((Input!D$11:D$985=8)*Input!T$11:T$985,1))</f>
        <v>0</v>
      </c>
      <c r="Z57" s="53">
        <f>IF($A$1=4,SUM(Y57:Y60),IF($A$1=5,SUM(Y57:Y61),IF($A$1=6,SUM(Y57:Y62),IF($A$1=7,SUM(Y57:Y63),IF($A$1=8,SUM(Y57:Y64),IF($A$1=9,SUM(Y57:Y65),IF($A$1=10,SUM(Y57:Y66))))))))</f>
        <v>0</v>
      </c>
      <c r="AA57" s="648"/>
      <c r="AB57" s="52">
        <f>SUMPRODUCT(LARGE((Input!D$11:D$985=9)*Input!T$11:T$985,1))</f>
        <v>0</v>
      </c>
      <c r="AC57" s="53">
        <f>IF($A$1=4,SUM(AB57:AB60),IF($A$1=5,SUM(AB57:AB61),IF($A$1=6,SUM(AB57:AB62),IF($A$1=7,SUM(AB57:AB63),IF($A$1=8,SUM(AB57:AB64),IF($A$1=9,SUM(AB57:AB65),IF($A$1=10,SUM(AB57:AB66))))))))</f>
        <v>0</v>
      </c>
      <c r="AD57" s="648"/>
      <c r="AE57" s="52">
        <f>SUMPRODUCT(LARGE((Input!D$11:D$985=10)*Input!T$11:T$985,1))</f>
        <v>0</v>
      </c>
      <c r="AF57" s="53">
        <f>IF($A$1=4,SUM(AE57:AE60),IF($A$1=5,SUM(AE57:AE61),IF($A$1=6,SUM(AE57:AE62),IF($A$1=7,SUM(AE57:AE63),IF($A$1=8,SUM(AE57:AE64),IF($A$1=9,SUM(AE57:AE65),IF($A$1=10,SUM(AE57:AE66))))))))</f>
        <v>0</v>
      </c>
      <c r="AG57" s="669"/>
      <c r="AH57" s="50">
        <f>SUMPRODUCT(LARGE((Input!$D$11:$D$985=11)*Input!$T$11:$T$985,1))</f>
        <v>0</v>
      </c>
      <c r="AI57" s="64"/>
      <c r="AJ57" s="64"/>
      <c r="AK57" s="644"/>
      <c r="AL57" s="53">
        <f>IF($A$1=4,SUM(AH57:AH60),IF($A$1=5,SUM(AH57:AH61),IF($A$1=6,SUM(AH57:AH62),IF($A$1=7,SUM(AH57:AH63),IF($A$1=8,SUM(AH57:AH64),IF($A$1=9,SUM(AH57:AH65),IF($A$1=10,SUM(AH57:AH66))))))))</f>
        <v>0</v>
      </c>
      <c r="AM57" s="648"/>
      <c r="AN57" s="50">
        <f>SUMPRODUCT(LARGE((Input!$D$11:$D$985=12)*Input!$T$11:$T$985,1))</f>
        <v>0</v>
      </c>
      <c r="AO57" s="53">
        <f>IF($A$1=4,SUM(AN57:AN60),IF($A$1=5,SUM(AN57:AN61),IF($A$1=6,SUM(AN57:AN62),IF($A$1=7,SUM(AN57:AN63),IF($A$1=8,SUM(AN57:AN64),IF($A$1=9,SUM(AN57:AN65),IF($A$1=10,SUM(AN57:AN66))))))))</f>
        <v>0</v>
      </c>
      <c r="AP57" s="648"/>
      <c r="AQ57" s="50">
        <f>SUMPRODUCT(LARGE((Input!$D$11:$D$985=13)*Input!$T$11:$T$985,1))</f>
        <v>0</v>
      </c>
      <c r="AR57" s="53">
        <f>IF($A$1=4,SUM(AQ57:AQ60),IF($A$1=5,SUM(AQ57:AQ61),IF($A$1=6,SUM(AQ57:AQ62),IF($A$1=7,SUM(AQ57:AQ63),IF($A$1=8,SUM(AQ57:AQ64),IF($A$1=9,SUM(AQ57:AQ65),IF($A$1=10,SUM(AQ57:AQ66))))))))</f>
        <v>0</v>
      </c>
      <c r="AS57" s="648"/>
      <c r="AT57" s="50">
        <f>SUMPRODUCT(LARGE((Input!$D$11:$D$985=14)*Input!$T$11:$T$985,1))</f>
        <v>0</v>
      </c>
      <c r="AU57" s="53">
        <f>IF($A$1=4,SUM(AT57:AT60),IF($A$1=5,SUM(AT57:AT61),IF($A$1=6,SUM(AT57:AT62),IF($A$1=7,SUM(AT57:AT63),IF($A$1=8,SUM(AT57:AT64),IF($A$1=9,SUM(AT57:AT65),IF($A$1=10,SUM(AT57:AT66))))))))</f>
        <v>0</v>
      </c>
      <c r="AV57" s="648"/>
      <c r="AW57" s="50">
        <f>SUMPRODUCT(LARGE((Input!$D$11:$D$985=15)*Input!$T$11:$T$985,1))</f>
        <v>0</v>
      </c>
      <c r="AX57" s="53">
        <f>IF($A$1=4,SUM(AW57:AW60),IF($A$1=5,SUM(AW57:AW61),IF($A$1=6,SUM(AW57:AW62),IF($A$1=7,SUM(AW57:AW63),IF($A$1=8,SUM(AW57:AW64),IF($A$1=9,SUM(AW57:AW65),IF($A$1=10,SUM(AW57:AW66))))))))</f>
        <v>0</v>
      </c>
      <c r="AY57" s="648"/>
      <c r="AZ57" s="50">
        <f>SUMPRODUCT(LARGE((Input!$D$11:$D$985=16)*Input!$T$11:$T$985,1))</f>
        <v>0</v>
      </c>
      <c r="BA57" s="53">
        <f>IF($A$1=4,SUM(AZ57:AZ60),IF($A$1=5,SUM(AZ57:AZ61),IF($A$1=6,SUM(AZ57:AZ62),IF($A$1=7,SUM(AZ57:AZ63),IF($A$1=8,SUM(AZ57:AZ64),IF($A$1=9,SUM(AZ57:AZ65),IF($A$1=10,SUM(AZ57:AZ66))))))))</f>
        <v>0</v>
      </c>
      <c r="BB57" s="648"/>
      <c r="BC57" s="50">
        <f>SUMPRODUCT(LARGE((Input!$D$11:$D$985=17)*Input!$T$11:$T$985,1))</f>
        <v>0</v>
      </c>
      <c r="BD57" s="53">
        <f>IF($A$1=4,SUM(BC57:BC60),IF($A$1=5,SUM(BC57:BC61),IF($A$1=6,SUM(BC57:BC62),IF($A$1=7,SUM(BC57:BC63),IF($A$1=8,SUM(BC57:BC64),IF($A$1=9,SUM(BC57:BC65),IF($A$1=10,SUM(BC57:BC66))))))))</f>
        <v>0</v>
      </c>
      <c r="BE57" s="648"/>
      <c r="BF57" s="50">
        <f>SUMPRODUCT(LARGE((Input!$D$11:$D$985=18)*Input!$T$11:$T$985,1))</f>
        <v>0</v>
      </c>
      <c r="BG57" s="53">
        <f>IF($A$1=4,SUM(BF57:BF60),IF($A$1=5,SUM(BF57:BF61),IF($A$1=6,SUM(BF57:BF62),IF($A$1=7,SUM(BF57:BF63),IF($A$1=8,SUM(BF57:BF64),IF($A$1=9,SUM(BF57:BF65),IF($A$1=10,SUM(BF57:BF66))))))))</f>
        <v>0</v>
      </c>
      <c r="BH57" s="648"/>
      <c r="BI57" s="50">
        <f>SUMPRODUCT(LARGE((Input!$D$11:$D$985=19)*Input!$T$11:$T$985,1))</f>
        <v>0</v>
      </c>
      <c r="BJ57" s="53">
        <f>IF($A$1=4,SUM(BI57:BI60),IF($A$1=5,SUM(BI57:BI61),IF($A$1=6,SUM(BI57:BI62),IF($A$1=7,SUM(BI57:BI63),IF($A$1=8,SUM(BI57:BI64),IF($A$1=9,SUM(BI57:BI65),IF($A$1=10,SUM(BI57:BI66))))))))</f>
        <v>0</v>
      </c>
      <c r="BK57" s="648"/>
      <c r="BL57" s="50">
        <f>SUMPRODUCT(LARGE((Input!$D$11:$D$985=20)*Input!$T$11:$T$985,1))</f>
        <v>0</v>
      </c>
      <c r="BM57" s="53">
        <f>IF($A$1=4,SUM(BL57:BL60),IF($A$1=5,SUM(BL57:BL61),IF($A$1=6,SUM(BL57:BL62),IF($A$1=7,SUM(BL57:BL63),IF($A$1=8,SUM(BL57:BL64),IF($A$1=9,SUM(BL57:BL65),IF($A$1=10,SUM(BL57:BL66))))))))</f>
        <v>0</v>
      </c>
      <c r="BN57" s="669"/>
    </row>
    <row r="58" spans="3:66" ht="13.5" hidden="1" thickBot="1" x14ac:dyDescent="0.3">
      <c r="C58" s="11"/>
      <c r="D58" s="30">
        <f>SUMPRODUCT(LARGE((Input!$D$11:$D$985=1)*Input!$T$11:$T$985,2))</f>
        <v>0</v>
      </c>
      <c r="E58" s="31"/>
      <c r="F58" s="55"/>
      <c r="G58" s="32">
        <f>SUMPRODUCT(LARGE((Input!D$11:D$985=2)*Input!T$11:T$985,2))</f>
        <v>0</v>
      </c>
      <c r="H58" s="33"/>
      <c r="I58" s="55"/>
      <c r="J58" s="32">
        <f>SUMPRODUCT(LARGE((Input!D$11:D$985=3)*Input!T$11:T$985,2))</f>
        <v>0</v>
      </c>
      <c r="K58" s="33"/>
      <c r="L58" s="56"/>
      <c r="M58" s="34">
        <f>SUMPRODUCT(LARGE((Input!D$11:D$985=4)*Input!T$11:T$985,2))</f>
        <v>0</v>
      </c>
      <c r="N58" s="33"/>
      <c r="O58" s="55"/>
      <c r="P58" s="32">
        <f>SUMPRODUCT(LARGE((Input!D$11:D$985=5)*Input!T$11:T$985,2))</f>
        <v>0</v>
      </c>
      <c r="Q58" s="33"/>
      <c r="R58" s="55"/>
      <c r="S58" s="32">
        <f>SUMPRODUCT(LARGE((Input!D$11:D$985=6)*Input!T$11:T$985,2))</f>
        <v>0</v>
      </c>
      <c r="T58" s="33"/>
      <c r="U58" s="55"/>
      <c r="V58" s="32">
        <f>SUMPRODUCT(LARGE((Input!D$11:D$985=7)*Input!T$11:T$985,2))</f>
        <v>0</v>
      </c>
      <c r="W58" s="33"/>
      <c r="X58" s="55"/>
      <c r="Y58" s="32">
        <f>SUMPRODUCT(LARGE((Input!D$11:D$985=8)*Input!T$11:T$985,2))</f>
        <v>0</v>
      </c>
      <c r="Z58" s="33"/>
      <c r="AA58" s="55"/>
      <c r="AB58" s="32">
        <f>SUMPRODUCT(LARGE((Input!D$11:D$985=9)*Input!T$11:T$985,2))</f>
        <v>0</v>
      </c>
      <c r="AC58" s="33"/>
      <c r="AD58" s="55"/>
      <c r="AE58" s="32">
        <f>SUMPRODUCT(LARGE((Input!D$11:D$985=10)*Input!T$11:T$985,2))</f>
        <v>0</v>
      </c>
      <c r="AF58" s="33"/>
      <c r="AG58" s="57"/>
      <c r="AH58" s="30">
        <f>SUMPRODUCT(LARGE((Input!$D$11:$D$985=11)*Input!$T$11:$T$985,2))</f>
        <v>0</v>
      </c>
      <c r="AI58" s="64"/>
      <c r="AJ58" s="64"/>
      <c r="AK58" s="11"/>
      <c r="AL58" s="33"/>
      <c r="AM58" s="55"/>
      <c r="AN58" s="30">
        <f>SUMPRODUCT(LARGE((Input!$D$11:$D$985=12)*Input!$T$11:$T$985,2))</f>
        <v>0</v>
      </c>
      <c r="AO58" s="33"/>
      <c r="AP58" s="55"/>
      <c r="AQ58" s="30">
        <f>SUMPRODUCT(LARGE((Input!$D$11:$D$985=13)*Input!$T$11:$T$985,2))</f>
        <v>0</v>
      </c>
      <c r="AR58" s="33"/>
      <c r="AS58" s="55"/>
      <c r="AT58" s="30">
        <f>SUMPRODUCT(LARGE((Input!$D$11:$D$985=14)*Input!$T$11:$T$985,2))</f>
        <v>0</v>
      </c>
      <c r="AU58" s="33"/>
      <c r="AV58" s="55"/>
      <c r="AW58" s="30">
        <f>SUMPRODUCT(LARGE((Input!$D$11:$D$985=15)*Input!$T$11:$T$985,2))</f>
        <v>0</v>
      </c>
      <c r="AX58" s="33"/>
      <c r="AY58" s="55"/>
      <c r="AZ58" s="30">
        <f>SUMPRODUCT(LARGE((Input!$D$11:$D$985=16)*Input!$T$11:$T$985,2))</f>
        <v>0</v>
      </c>
      <c r="BA58" s="33"/>
      <c r="BB58" s="55"/>
      <c r="BC58" s="30">
        <f>SUMPRODUCT(LARGE((Input!$D$11:$D$985=17)*Input!$T$11:$T$985,2))</f>
        <v>0</v>
      </c>
      <c r="BD58" s="33"/>
      <c r="BE58" s="55"/>
      <c r="BF58" s="30">
        <f>SUMPRODUCT(LARGE((Input!$D$11:$D$985=18)*Input!$T$11:$T$985,2))</f>
        <v>0</v>
      </c>
      <c r="BG58" s="33"/>
      <c r="BH58" s="55"/>
      <c r="BI58" s="30">
        <f>SUMPRODUCT(LARGE((Input!$D$11:$D$985=19)*Input!$T$11:$T$985,2))</f>
        <v>0</v>
      </c>
      <c r="BJ58" s="33"/>
      <c r="BK58" s="55"/>
      <c r="BL58" s="30">
        <f>SUMPRODUCT(LARGE((Input!$D$11:$D$985=20)*Input!$T$11:$T$985,2))</f>
        <v>0</v>
      </c>
      <c r="BM58" s="33"/>
      <c r="BN58" s="57"/>
    </row>
    <row r="59" spans="3:66" ht="13.5" hidden="1" thickBot="1" x14ac:dyDescent="0.3">
      <c r="C59" s="11"/>
      <c r="D59" s="30">
        <f>SUMPRODUCT(LARGE((Input!$D$11:$D$985=1)*Input!$T$11:$T$985,3))</f>
        <v>0</v>
      </c>
      <c r="E59" s="35"/>
      <c r="F59" s="37"/>
      <c r="G59" s="32">
        <f>SUMPRODUCT(LARGE((Input!D$11:D$985=2)*Input!T$11:T$985,3))</f>
        <v>0</v>
      </c>
      <c r="H59" s="36"/>
      <c r="I59" s="37"/>
      <c r="J59" s="32">
        <f>SUMPRODUCT(LARGE((Input!D$11:D$985=3)*Input!T$11:T$985,3))</f>
        <v>0</v>
      </c>
      <c r="K59" s="36"/>
      <c r="L59" s="38"/>
      <c r="M59" s="34">
        <f>SUMPRODUCT(LARGE((Input!D$11:D$985=4)*Input!T$11:T$985,3))</f>
        <v>0</v>
      </c>
      <c r="N59" s="36"/>
      <c r="O59" s="37"/>
      <c r="P59" s="32">
        <f>SUMPRODUCT(LARGE((Input!D$11:D$985=5)*Input!T$11:T$985,3))</f>
        <v>0</v>
      </c>
      <c r="Q59" s="36"/>
      <c r="R59" s="37"/>
      <c r="S59" s="32">
        <f>SUMPRODUCT(LARGE((Input!D$11:D$985=6)*Input!T$11:T$985,3))</f>
        <v>0</v>
      </c>
      <c r="T59" s="36"/>
      <c r="U59" s="37"/>
      <c r="V59" s="32">
        <f>SUMPRODUCT(LARGE((Input!D$11:D$985=7)*Input!T$11:T$985,3))</f>
        <v>0</v>
      </c>
      <c r="W59" s="36"/>
      <c r="X59" s="37"/>
      <c r="Y59" s="32">
        <f>SUMPRODUCT(LARGE((Input!D$11:D$985=8)*Input!T$11:T$985,3))</f>
        <v>0</v>
      </c>
      <c r="Z59" s="36"/>
      <c r="AA59" s="37"/>
      <c r="AB59" s="32">
        <f>SUMPRODUCT(LARGE((Input!D$11:D$985=9)*Input!T$11:T$985,3))</f>
        <v>0</v>
      </c>
      <c r="AC59" s="36"/>
      <c r="AD59" s="37"/>
      <c r="AE59" s="32">
        <f>SUMPRODUCT(LARGE((Input!D$11:D$985=10)*Input!T$11:T$985,3))</f>
        <v>0</v>
      </c>
      <c r="AF59" s="36"/>
      <c r="AG59" s="314"/>
      <c r="AH59" s="30">
        <f>SUMPRODUCT(LARGE((Input!$D$11:$D$985=11)*Input!$T$11:$T$985,3))</f>
        <v>0</v>
      </c>
      <c r="AI59" s="64"/>
      <c r="AJ59" s="64"/>
      <c r="AK59" s="11"/>
      <c r="AL59" s="36"/>
      <c r="AM59" s="37"/>
      <c r="AN59" s="30">
        <f>SUMPRODUCT(LARGE((Input!$D$11:$D$985=12)*Input!$T$11:$T$985,3))</f>
        <v>0</v>
      </c>
      <c r="AO59" s="36"/>
      <c r="AP59" s="37"/>
      <c r="AQ59" s="30">
        <f>SUMPRODUCT(LARGE((Input!$D$11:$D$985=13)*Input!$T$11:$T$985,3))</f>
        <v>0</v>
      </c>
      <c r="AR59" s="36"/>
      <c r="AS59" s="37"/>
      <c r="AT59" s="30">
        <f>SUMPRODUCT(LARGE((Input!$D$11:$D$985=14)*Input!$T$11:$T$985,3))</f>
        <v>0</v>
      </c>
      <c r="AU59" s="36"/>
      <c r="AV59" s="37"/>
      <c r="AW59" s="30">
        <f>SUMPRODUCT(LARGE((Input!$D$11:$D$985=15)*Input!$T$11:$T$985,3))</f>
        <v>0</v>
      </c>
      <c r="AX59" s="36"/>
      <c r="AY59" s="37"/>
      <c r="AZ59" s="30">
        <f>SUMPRODUCT(LARGE((Input!$D$11:$D$985=16)*Input!$T$11:$T$985,3))</f>
        <v>0</v>
      </c>
      <c r="BA59" s="36"/>
      <c r="BB59" s="37"/>
      <c r="BC59" s="30">
        <f>SUMPRODUCT(LARGE((Input!$D$11:$D$985=17)*Input!$T$11:$T$985,3))</f>
        <v>0</v>
      </c>
      <c r="BD59" s="36"/>
      <c r="BE59" s="37"/>
      <c r="BF59" s="30">
        <f>SUMPRODUCT(LARGE((Input!$D$11:$D$985=18)*Input!$T$11:$T$985,3))</f>
        <v>0</v>
      </c>
      <c r="BG59" s="36"/>
      <c r="BH59" s="37"/>
      <c r="BI59" s="30">
        <f>SUMPRODUCT(LARGE((Input!$D$11:$D$985=19)*Input!$T$11:$T$985,3))</f>
        <v>0</v>
      </c>
      <c r="BJ59" s="36"/>
      <c r="BK59" s="37"/>
      <c r="BL59" s="30">
        <f>SUMPRODUCT(LARGE((Input!$D$11:$D$985=20)*Input!$T$11:$T$985,3))</f>
        <v>0</v>
      </c>
      <c r="BM59" s="36"/>
      <c r="BN59" s="39"/>
    </row>
    <row r="60" spans="3:66" ht="13.5" hidden="1" thickBot="1" x14ac:dyDescent="0.3">
      <c r="C60" s="11"/>
      <c r="D60" s="30">
        <f>SUMPRODUCT(LARGE((Input!$D$11:$D$985=1)*Input!$T$11:$T$985,4))</f>
        <v>0</v>
      </c>
      <c r="E60" s="35"/>
      <c r="F60" s="37"/>
      <c r="G60" s="32">
        <f>SUMPRODUCT(LARGE((Input!D$11:D$985=2)*Input!T$11:T$985,4))</f>
        <v>0</v>
      </c>
      <c r="H60" s="36"/>
      <c r="I60" s="37"/>
      <c r="J60" s="32">
        <f>SUMPRODUCT(LARGE((Input!D$11:D$985=3)*Input!T$11:T$985,4))</f>
        <v>0</v>
      </c>
      <c r="K60" s="36"/>
      <c r="L60" s="38"/>
      <c r="M60" s="34">
        <f>SUMPRODUCT(LARGE((Input!D$11:D$985=4)*Input!T$11:T$985,4))</f>
        <v>0</v>
      </c>
      <c r="N60" s="36"/>
      <c r="O60" s="37"/>
      <c r="P60" s="32">
        <f>SUMPRODUCT(LARGE((Input!D$11:D$985=5)*Input!T$11:T$985,4))</f>
        <v>0</v>
      </c>
      <c r="Q60" s="36"/>
      <c r="R60" s="37"/>
      <c r="S60" s="32">
        <f>SUMPRODUCT(LARGE((Input!D$11:D$985=6)*Input!T$11:T$985,4))</f>
        <v>0</v>
      </c>
      <c r="T60" s="36"/>
      <c r="U60" s="37"/>
      <c r="V60" s="32">
        <f>SUMPRODUCT(LARGE((Input!D$11:D$985=7)*Input!T$11:T$985,4))</f>
        <v>0</v>
      </c>
      <c r="W60" s="36"/>
      <c r="X60" s="37"/>
      <c r="Y60" s="32">
        <f>SUMPRODUCT(LARGE((Input!D$11:D$985=8)*Input!T$11:T$985,4))</f>
        <v>0</v>
      </c>
      <c r="Z60" s="36"/>
      <c r="AA60" s="37"/>
      <c r="AB60" s="32">
        <f>SUMPRODUCT(LARGE((Input!D$11:D$985=9)*Input!T$11:T$985,4))</f>
        <v>0</v>
      </c>
      <c r="AC60" s="36"/>
      <c r="AD60" s="37"/>
      <c r="AE60" s="32">
        <f>SUMPRODUCT(LARGE((Input!D$11:D$985=10)*Input!T$11:T$985,4))</f>
        <v>0</v>
      </c>
      <c r="AF60" s="36"/>
      <c r="AG60" s="314"/>
      <c r="AH60" s="30">
        <f>SUMPRODUCT(LARGE((Input!$D$11:$D$985=11)*Input!$T$11:$T$985,4))</f>
        <v>0</v>
      </c>
      <c r="AI60" s="64"/>
      <c r="AJ60" s="64"/>
      <c r="AK60" s="11"/>
      <c r="AL60" s="36"/>
      <c r="AM60" s="37"/>
      <c r="AN60" s="30">
        <f>SUMPRODUCT(LARGE((Input!$D$11:$D$985=12)*Input!$T$11:$T$985,4))</f>
        <v>0</v>
      </c>
      <c r="AO60" s="36"/>
      <c r="AP60" s="37"/>
      <c r="AQ60" s="30">
        <f>SUMPRODUCT(LARGE((Input!$D$11:$D$985=13)*Input!$T$11:$T$985,4))</f>
        <v>0</v>
      </c>
      <c r="AR60" s="36"/>
      <c r="AS60" s="37"/>
      <c r="AT60" s="30">
        <f>SUMPRODUCT(LARGE((Input!$D$11:$D$985=14)*Input!$T$11:$T$985,4))</f>
        <v>0</v>
      </c>
      <c r="AU60" s="36"/>
      <c r="AV60" s="37"/>
      <c r="AW60" s="30">
        <f>SUMPRODUCT(LARGE((Input!$D$11:$D$985=15)*Input!$T$11:$T$985,4))</f>
        <v>0</v>
      </c>
      <c r="AX60" s="36"/>
      <c r="AY60" s="37"/>
      <c r="AZ60" s="30">
        <f>SUMPRODUCT(LARGE((Input!$D$11:$D$985=16)*Input!$T$11:$T$985,4))</f>
        <v>0</v>
      </c>
      <c r="BA60" s="36"/>
      <c r="BB60" s="37"/>
      <c r="BC60" s="30">
        <f>SUMPRODUCT(LARGE((Input!$D$11:$D$985=17)*Input!$T$11:$T$985,4))</f>
        <v>0</v>
      </c>
      <c r="BD60" s="36"/>
      <c r="BE60" s="37"/>
      <c r="BF60" s="30">
        <f>SUMPRODUCT(LARGE((Input!$D$11:$D$985=18)*Input!$T$11:$T$985,4))</f>
        <v>0</v>
      </c>
      <c r="BG60" s="36"/>
      <c r="BH60" s="37"/>
      <c r="BI60" s="30">
        <f>SUMPRODUCT(LARGE((Input!$D$11:$D$985=19)*Input!$T$11:$T$985,4))</f>
        <v>0</v>
      </c>
      <c r="BJ60" s="36"/>
      <c r="BK60" s="37"/>
      <c r="BL60" s="30">
        <f>SUMPRODUCT(LARGE((Input!$D$11:$D$985=20)*Input!$T$11:$T$985,4))</f>
        <v>0</v>
      </c>
      <c r="BM60" s="36"/>
      <c r="BN60" s="39"/>
    </row>
    <row r="61" spans="3:66" ht="13.5" hidden="1" thickBot="1" x14ac:dyDescent="0.3">
      <c r="C61" s="11"/>
      <c r="D61" s="30">
        <f>SUMPRODUCT(LARGE((Input!$D$11:$D$985=1)*Input!$T$11:$T$985,5))</f>
        <v>0</v>
      </c>
      <c r="E61" s="35"/>
      <c r="F61" s="37"/>
      <c r="G61" s="32">
        <f>SUMPRODUCT(LARGE((Input!D$11:D$985=2)*Input!T$11:T$985,5))</f>
        <v>0</v>
      </c>
      <c r="H61" s="36"/>
      <c r="I61" s="37"/>
      <c r="J61" s="32">
        <f>SUMPRODUCT(LARGE((Input!D$11:D$985=3)*Input!T$11:T$985,5))</f>
        <v>0</v>
      </c>
      <c r="K61" s="36"/>
      <c r="L61" s="38"/>
      <c r="M61" s="34">
        <f>SUMPRODUCT(LARGE((Input!D$11:D$985=4)*Input!T$11:T$985,5))</f>
        <v>0</v>
      </c>
      <c r="N61" s="36"/>
      <c r="O61" s="37"/>
      <c r="P61" s="32">
        <f>SUMPRODUCT(LARGE((Input!D$11:D$985=5)*Input!T$11:T$985,5))</f>
        <v>0</v>
      </c>
      <c r="Q61" s="36"/>
      <c r="R61" s="37"/>
      <c r="S61" s="32">
        <f>SUMPRODUCT(LARGE((Input!D$11:D$985=6)*Input!T$11:T$985,5))</f>
        <v>0</v>
      </c>
      <c r="T61" s="36"/>
      <c r="U61" s="37"/>
      <c r="V61" s="32">
        <f>SUMPRODUCT(LARGE((Input!D$11:D$985=7)*Input!T$11:T$985,5))</f>
        <v>0</v>
      </c>
      <c r="W61" s="36"/>
      <c r="X61" s="37"/>
      <c r="Y61" s="32">
        <f>SUMPRODUCT(LARGE((Input!D$11:D$985=8)*Input!T$11:T$985,5))</f>
        <v>0</v>
      </c>
      <c r="Z61" s="36"/>
      <c r="AA61" s="37"/>
      <c r="AB61" s="32">
        <f>SUMPRODUCT(LARGE((Input!D$11:D$985=9)*Input!T$11:T$985,5))</f>
        <v>0</v>
      </c>
      <c r="AC61" s="36"/>
      <c r="AD61" s="37"/>
      <c r="AE61" s="32">
        <f>SUMPRODUCT(LARGE((Input!D$11:D$985=10)*Input!T$11:T$985,5))</f>
        <v>0</v>
      </c>
      <c r="AF61" s="36"/>
      <c r="AG61" s="314"/>
      <c r="AH61" s="30">
        <f>SUMPRODUCT(LARGE((Input!$D$11:$D$985=11)*Input!$T$11:$T$985,5))</f>
        <v>0</v>
      </c>
      <c r="AI61" s="64"/>
      <c r="AJ61" s="64"/>
      <c r="AK61" s="11"/>
      <c r="AL61" s="36"/>
      <c r="AM61" s="37"/>
      <c r="AN61" s="30">
        <f>SUMPRODUCT(LARGE((Input!$D$11:$D$985=12)*Input!$T$11:$T$985,5))</f>
        <v>0</v>
      </c>
      <c r="AO61" s="36"/>
      <c r="AP61" s="37"/>
      <c r="AQ61" s="30">
        <f>SUMPRODUCT(LARGE((Input!$D$11:$D$985=13)*Input!$T$11:$T$985,5))</f>
        <v>0</v>
      </c>
      <c r="AR61" s="36"/>
      <c r="AS61" s="37"/>
      <c r="AT61" s="30">
        <f>SUMPRODUCT(LARGE((Input!$D$11:$D$985=14)*Input!$T$11:$T$985,5))</f>
        <v>0</v>
      </c>
      <c r="AU61" s="36"/>
      <c r="AV61" s="37"/>
      <c r="AW61" s="30">
        <f>SUMPRODUCT(LARGE((Input!$D$11:$D$985=15)*Input!$T$11:$T$985,5))</f>
        <v>0</v>
      </c>
      <c r="AX61" s="36"/>
      <c r="AY61" s="37"/>
      <c r="AZ61" s="30">
        <f>SUMPRODUCT(LARGE((Input!$D$11:$D$985=16)*Input!$T$11:$T$985,5))</f>
        <v>0</v>
      </c>
      <c r="BA61" s="36"/>
      <c r="BB61" s="37"/>
      <c r="BC61" s="30">
        <f>SUMPRODUCT(LARGE((Input!$D$11:$D$985=17)*Input!$T$11:$T$985,5))</f>
        <v>0</v>
      </c>
      <c r="BD61" s="36"/>
      <c r="BE61" s="37"/>
      <c r="BF61" s="30">
        <f>SUMPRODUCT(LARGE((Input!$D$11:$D$985=18)*Input!$T$11:$T$985,5))</f>
        <v>0</v>
      </c>
      <c r="BG61" s="36"/>
      <c r="BH61" s="37"/>
      <c r="BI61" s="30">
        <f>SUMPRODUCT(LARGE((Input!$D$11:$D$985=19)*Input!$T$11:$T$985,5))</f>
        <v>0</v>
      </c>
      <c r="BJ61" s="36"/>
      <c r="BK61" s="37"/>
      <c r="BL61" s="30">
        <f>SUMPRODUCT(LARGE((Input!$D$11:$D$985=20)*Input!$T$11:$T$985,5))</f>
        <v>0</v>
      </c>
      <c r="BM61" s="36"/>
      <c r="BN61" s="39"/>
    </row>
    <row r="62" spans="3:66" ht="13.5" hidden="1" thickBot="1" x14ac:dyDescent="0.3">
      <c r="C62" s="11"/>
      <c r="D62" s="30">
        <f>SUMPRODUCT(LARGE((Input!$D$11:$D$985=1)*Input!$T$11:$T$985,6))</f>
        <v>0</v>
      </c>
      <c r="E62" s="35"/>
      <c r="F62" s="37"/>
      <c r="G62" s="32">
        <f>SUMPRODUCT(LARGE((Input!D$11:D$985=2)*Input!T$11:T$985,6))</f>
        <v>0</v>
      </c>
      <c r="H62" s="36"/>
      <c r="I62" s="37"/>
      <c r="J62" s="32">
        <f>SUMPRODUCT(LARGE((Input!D$11:D$985=3)*Input!T$11:T$985,6))</f>
        <v>0</v>
      </c>
      <c r="K62" s="36"/>
      <c r="L62" s="38"/>
      <c r="M62" s="34">
        <f>SUMPRODUCT(LARGE((Input!D$11:D$985=4)*Input!T$11:T$985,6))</f>
        <v>0</v>
      </c>
      <c r="N62" s="36"/>
      <c r="O62" s="37"/>
      <c r="P62" s="32">
        <f>SUMPRODUCT(LARGE((Input!D$11:D$985=5)*Input!T$11:T$985,6))</f>
        <v>0</v>
      </c>
      <c r="Q62" s="36"/>
      <c r="R62" s="37"/>
      <c r="S62" s="32">
        <f>SUMPRODUCT(LARGE((Input!D$11:D$985=6)*Input!T$11:T$985,6))</f>
        <v>0</v>
      </c>
      <c r="T62" s="36"/>
      <c r="U62" s="37"/>
      <c r="V62" s="32">
        <f>SUMPRODUCT(LARGE((Input!D$11:D$985=7)*Input!T$11:T$985,6))</f>
        <v>0</v>
      </c>
      <c r="W62" s="36"/>
      <c r="X62" s="37"/>
      <c r="Y62" s="32">
        <f>SUMPRODUCT(LARGE((Input!D$11:D$985=8)*Input!T$11:T$985,6))</f>
        <v>0</v>
      </c>
      <c r="Z62" s="36"/>
      <c r="AA62" s="37"/>
      <c r="AB62" s="32">
        <f>SUMPRODUCT(LARGE((Input!D$11:D$985=9)*Input!T$11:T$985,6))</f>
        <v>0</v>
      </c>
      <c r="AC62" s="36"/>
      <c r="AD62" s="37"/>
      <c r="AE62" s="32">
        <f>SUMPRODUCT(LARGE((Input!D$11:D$985=10)*Input!T$11:T$985,6))</f>
        <v>0</v>
      </c>
      <c r="AF62" s="36"/>
      <c r="AG62" s="314"/>
      <c r="AH62" s="30">
        <f>SUMPRODUCT(LARGE((Input!$D$11:$D$985=11)*Input!$T$11:$T$985,6))</f>
        <v>0</v>
      </c>
      <c r="AI62" s="64"/>
      <c r="AJ62" s="64"/>
      <c r="AK62" s="11"/>
      <c r="AL62" s="36"/>
      <c r="AM62" s="37"/>
      <c r="AN62" s="30">
        <f>SUMPRODUCT(LARGE((Input!$D$11:$D$985=12)*Input!$T$11:$T$985,6))</f>
        <v>0</v>
      </c>
      <c r="AO62" s="36"/>
      <c r="AP62" s="37"/>
      <c r="AQ62" s="30">
        <f>SUMPRODUCT(LARGE((Input!$D$11:$D$985=13)*Input!$T$11:$T$985,6))</f>
        <v>0</v>
      </c>
      <c r="AR62" s="36"/>
      <c r="AS62" s="37"/>
      <c r="AT62" s="30">
        <f>SUMPRODUCT(LARGE((Input!$D$11:$D$985=14)*Input!$T$11:$T$985,6))</f>
        <v>0</v>
      </c>
      <c r="AU62" s="36"/>
      <c r="AV62" s="37"/>
      <c r="AW62" s="30">
        <f>SUMPRODUCT(LARGE((Input!$D$11:$D$985=15)*Input!$T$11:$T$985,6))</f>
        <v>0</v>
      </c>
      <c r="AX62" s="36"/>
      <c r="AY62" s="37"/>
      <c r="AZ62" s="30">
        <f>SUMPRODUCT(LARGE((Input!$D$11:$D$985=16)*Input!$T$11:$T$985,6))</f>
        <v>0</v>
      </c>
      <c r="BA62" s="36"/>
      <c r="BB62" s="37"/>
      <c r="BC62" s="30">
        <f>SUMPRODUCT(LARGE((Input!$D$11:$D$985=17)*Input!$T$11:$T$985,6))</f>
        <v>0</v>
      </c>
      <c r="BD62" s="36"/>
      <c r="BE62" s="37"/>
      <c r="BF62" s="30">
        <f>SUMPRODUCT(LARGE((Input!$D$11:$D$985=18)*Input!$T$11:$T$985,6))</f>
        <v>0</v>
      </c>
      <c r="BG62" s="36"/>
      <c r="BH62" s="37"/>
      <c r="BI62" s="30">
        <f>SUMPRODUCT(LARGE((Input!$D$11:$D$985=19)*Input!$T$11:$T$985,6))</f>
        <v>0</v>
      </c>
      <c r="BJ62" s="36"/>
      <c r="BK62" s="37"/>
      <c r="BL62" s="30">
        <f>SUMPRODUCT(LARGE((Input!$D$11:$D$985=20)*Input!$T$11:$T$985,6))</f>
        <v>0</v>
      </c>
      <c r="BM62" s="36"/>
      <c r="BN62" s="39"/>
    </row>
    <row r="63" spans="3:66" ht="13.5" hidden="1" thickBot="1" x14ac:dyDescent="0.3">
      <c r="C63" s="11"/>
      <c r="D63" s="30">
        <f>SUMPRODUCT(LARGE((Input!$D$11:$D$985=1)*Input!$T$11:$T$985,7))</f>
        <v>0</v>
      </c>
      <c r="E63" s="35"/>
      <c r="F63" s="37"/>
      <c r="G63" s="32">
        <f>SUMPRODUCT(LARGE((Input!D$11:D$985=2)*Input!T$11:T$985,7))</f>
        <v>0</v>
      </c>
      <c r="H63" s="36"/>
      <c r="I63" s="37"/>
      <c r="J63" s="32">
        <f>SUMPRODUCT(LARGE((Input!D$11:D$985=3)*Input!T$11:T$985,7))</f>
        <v>0</v>
      </c>
      <c r="K63" s="36"/>
      <c r="L63" s="38"/>
      <c r="M63" s="34">
        <f>SUMPRODUCT(LARGE((Input!D$11:D$985=4)*Input!T$11:T$985,7))</f>
        <v>0</v>
      </c>
      <c r="N63" s="36"/>
      <c r="O63" s="37"/>
      <c r="P63" s="32">
        <f>SUMPRODUCT(LARGE((Input!D$11:D$985=5)*Input!T$11:T$985,7))</f>
        <v>0</v>
      </c>
      <c r="Q63" s="36"/>
      <c r="R63" s="37"/>
      <c r="S63" s="32">
        <f>SUMPRODUCT(LARGE((Input!D$11:D$985=6)*Input!T$11:T$985,7))</f>
        <v>0</v>
      </c>
      <c r="T63" s="36"/>
      <c r="U63" s="37"/>
      <c r="V63" s="32">
        <f>SUMPRODUCT(LARGE((Input!D$11:D$985=7)*Input!T$11:T$985,7))</f>
        <v>0</v>
      </c>
      <c r="W63" s="36"/>
      <c r="X63" s="37"/>
      <c r="Y63" s="32">
        <f>SUMPRODUCT(LARGE((Input!D$11:D$985=8)*Input!T$11:T$985,7))</f>
        <v>0</v>
      </c>
      <c r="Z63" s="36"/>
      <c r="AA63" s="37"/>
      <c r="AB63" s="32">
        <f>SUMPRODUCT(LARGE((Input!D$11:D$985=9)*Input!T$11:T$985,7))</f>
        <v>0</v>
      </c>
      <c r="AC63" s="36"/>
      <c r="AD63" s="37"/>
      <c r="AE63" s="32">
        <f>SUMPRODUCT(LARGE((Input!D$11:D$985=10)*Input!T$11:T$985,7))</f>
        <v>0</v>
      </c>
      <c r="AF63" s="36"/>
      <c r="AG63" s="314"/>
      <c r="AH63" s="30">
        <f>SUMPRODUCT(LARGE((Input!$D$11:$D$985=11)*Input!$T$11:$T$985,7))</f>
        <v>0</v>
      </c>
      <c r="AI63" s="64"/>
      <c r="AJ63" s="64"/>
      <c r="AK63" s="11"/>
      <c r="AL63" s="36"/>
      <c r="AM63" s="37"/>
      <c r="AN63" s="30">
        <f>SUMPRODUCT(LARGE((Input!$D$11:$D$985=12)*Input!$T$11:$T$985,7))</f>
        <v>0</v>
      </c>
      <c r="AO63" s="36"/>
      <c r="AP63" s="37"/>
      <c r="AQ63" s="30">
        <f>SUMPRODUCT(LARGE((Input!$D$11:$D$985=13)*Input!$T$11:$T$985,7))</f>
        <v>0</v>
      </c>
      <c r="AR63" s="36"/>
      <c r="AS63" s="37"/>
      <c r="AT63" s="30">
        <f>SUMPRODUCT(LARGE((Input!$D$11:$D$985=14)*Input!$T$11:$T$985,7))</f>
        <v>0</v>
      </c>
      <c r="AU63" s="36"/>
      <c r="AV63" s="37"/>
      <c r="AW63" s="30">
        <f>SUMPRODUCT(LARGE((Input!$D$11:$D$985=15)*Input!$T$11:$T$985,7))</f>
        <v>0</v>
      </c>
      <c r="AX63" s="36"/>
      <c r="AY63" s="37"/>
      <c r="AZ63" s="30">
        <f>SUMPRODUCT(LARGE((Input!$D$11:$D$985=16)*Input!$T$11:$T$985,7))</f>
        <v>0</v>
      </c>
      <c r="BA63" s="36"/>
      <c r="BB63" s="37"/>
      <c r="BC63" s="30">
        <f>SUMPRODUCT(LARGE((Input!$D$11:$D$985=17)*Input!$T$11:$T$985,7))</f>
        <v>0</v>
      </c>
      <c r="BD63" s="36"/>
      <c r="BE63" s="37"/>
      <c r="BF63" s="30">
        <f>SUMPRODUCT(LARGE((Input!$D$11:$D$985=18)*Input!$T$11:$T$985,7))</f>
        <v>0</v>
      </c>
      <c r="BG63" s="36"/>
      <c r="BH63" s="37"/>
      <c r="BI63" s="30">
        <f>SUMPRODUCT(LARGE((Input!$D$11:$D$985=19)*Input!$T$11:$T$985,7))</f>
        <v>0</v>
      </c>
      <c r="BJ63" s="36"/>
      <c r="BK63" s="37"/>
      <c r="BL63" s="30">
        <f>SUMPRODUCT(LARGE((Input!$D$11:$D$985=20)*Input!$T$11:$T$985,7))</f>
        <v>0</v>
      </c>
      <c r="BM63" s="36"/>
      <c r="BN63" s="39"/>
    </row>
    <row r="64" spans="3:66" ht="13.5" hidden="1" thickBot="1" x14ac:dyDescent="0.3">
      <c r="C64" s="11"/>
      <c r="D64" s="30">
        <f>SUMPRODUCT(LARGE((Input!$D$11:$D$985=1)*Input!$T$11:$T$985,8))</f>
        <v>0</v>
      </c>
      <c r="E64" s="35"/>
      <c r="F64" s="37"/>
      <c r="G64" s="32">
        <f>SUMPRODUCT(LARGE((Input!D$11:D$985=2)*Input!T$11:T$985,8))</f>
        <v>0</v>
      </c>
      <c r="H64" s="36"/>
      <c r="I64" s="37"/>
      <c r="J64" s="32">
        <f>SUMPRODUCT(LARGE((Input!D$11:D$985=3)*Input!T$11:T$985,8))</f>
        <v>0</v>
      </c>
      <c r="K64" s="36"/>
      <c r="L64" s="38"/>
      <c r="M64" s="34">
        <f>SUMPRODUCT(LARGE((Input!D$11:D$985=4)*Input!T$11:T$985,8))</f>
        <v>0</v>
      </c>
      <c r="N64" s="36"/>
      <c r="O64" s="37"/>
      <c r="P64" s="32">
        <f>SUMPRODUCT(LARGE((Input!D$11:D$985=5)*Input!T$11:T$985,8))</f>
        <v>0</v>
      </c>
      <c r="Q64" s="36"/>
      <c r="R64" s="37"/>
      <c r="S64" s="32">
        <f>SUMPRODUCT(LARGE((Input!D$11:D$985=6)*Input!T$11:T$985,8))</f>
        <v>0</v>
      </c>
      <c r="T64" s="36"/>
      <c r="U64" s="37"/>
      <c r="V64" s="32">
        <f>SUMPRODUCT(LARGE((Input!D$11:D$985=7)*Input!T$11:T$985,8))</f>
        <v>0</v>
      </c>
      <c r="W64" s="36"/>
      <c r="X64" s="37"/>
      <c r="Y64" s="32">
        <f>SUMPRODUCT(LARGE((Input!D$11:D$985=8)*Input!T$11:T$985,8))</f>
        <v>0</v>
      </c>
      <c r="Z64" s="36"/>
      <c r="AA64" s="37"/>
      <c r="AB64" s="32">
        <f>SUMPRODUCT(LARGE((Input!D$11:D$985=9)*Input!T$11:T$985,8))</f>
        <v>0</v>
      </c>
      <c r="AC64" s="36"/>
      <c r="AD64" s="37"/>
      <c r="AE64" s="32">
        <f>SUMPRODUCT(LARGE((Input!D$11:D$985=10)*Input!T$11:T$985,8))</f>
        <v>0</v>
      </c>
      <c r="AF64" s="36"/>
      <c r="AG64" s="314"/>
      <c r="AH64" s="30">
        <f>SUMPRODUCT(LARGE((Input!$D$11:$D$985=11)*Input!$T$11:$T$985,8))</f>
        <v>0</v>
      </c>
      <c r="AI64" s="64"/>
      <c r="AJ64" s="64"/>
      <c r="AK64" s="11"/>
      <c r="AL64" s="36"/>
      <c r="AM64" s="37"/>
      <c r="AN64" s="30">
        <f>SUMPRODUCT(LARGE((Input!$D$11:$D$985=12)*Input!$T$11:$T$985,8))</f>
        <v>0</v>
      </c>
      <c r="AO64" s="36"/>
      <c r="AP64" s="37"/>
      <c r="AQ64" s="30">
        <f>SUMPRODUCT(LARGE((Input!$D$11:$D$985=13)*Input!$T$11:$T$985,8))</f>
        <v>0</v>
      </c>
      <c r="AR64" s="36"/>
      <c r="AS64" s="37"/>
      <c r="AT64" s="30">
        <f>SUMPRODUCT(LARGE((Input!$D$11:$D$985=14)*Input!$T$11:$T$985,8))</f>
        <v>0</v>
      </c>
      <c r="AU64" s="36"/>
      <c r="AV64" s="37"/>
      <c r="AW64" s="30">
        <f>SUMPRODUCT(LARGE((Input!$D$11:$D$985=15)*Input!$T$11:$T$985,8))</f>
        <v>0</v>
      </c>
      <c r="AX64" s="36"/>
      <c r="AY64" s="37"/>
      <c r="AZ64" s="30">
        <f>SUMPRODUCT(LARGE((Input!$D$11:$D$985=16)*Input!$T$11:$T$985,8))</f>
        <v>0</v>
      </c>
      <c r="BA64" s="36"/>
      <c r="BB64" s="37"/>
      <c r="BC64" s="30">
        <f>SUMPRODUCT(LARGE((Input!$D$11:$D$985=17)*Input!$T$11:$T$985,8))</f>
        <v>0</v>
      </c>
      <c r="BD64" s="36"/>
      <c r="BE64" s="37"/>
      <c r="BF64" s="30">
        <f>SUMPRODUCT(LARGE((Input!$D$11:$D$985=18)*Input!$T$11:$T$985,8))</f>
        <v>0</v>
      </c>
      <c r="BG64" s="36"/>
      <c r="BH64" s="37"/>
      <c r="BI64" s="30">
        <f>SUMPRODUCT(LARGE((Input!$D$11:$D$985=19)*Input!$T$11:$T$985,8))</f>
        <v>0</v>
      </c>
      <c r="BJ64" s="36"/>
      <c r="BK64" s="37"/>
      <c r="BL64" s="30">
        <f>SUMPRODUCT(LARGE((Input!$D$11:$D$985=20)*Input!$T$11:$T$985,8))</f>
        <v>0</v>
      </c>
      <c r="BM64" s="36"/>
      <c r="BN64" s="39"/>
    </row>
    <row r="65" spans="3:66" ht="13.5" hidden="1" thickBot="1" x14ac:dyDescent="0.3">
      <c r="C65" s="11"/>
      <c r="D65" s="30">
        <f>SUMPRODUCT(LARGE((Input!$D$11:$D$985=1)*Input!$T$11:$T$985,9))</f>
        <v>0</v>
      </c>
      <c r="E65" s="35"/>
      <c r="F65" s="37"/>
      <c r="G65" s="32">
        <f>SUMPRODUCT(LARGE((Input!D$11:D$985=2)*Input!T$11:T$985,9))</f>
        <v>0</v>
      </c>
      <c r="H65" s="36"/>
      <c r="I65" s="37"/>
      <c r="J65" s="32">
        <f>SUMPRODUCT(LARGE((Input!D$11:D$985=3)*Input!T$11:T$985,9))</f>
        <v>0</v>
      </c>
      <c r="K65" s="36"/>
      <c r="L65" s="38"/>
      <c r="M65" s="34">
        <f>SUMPRODUCT(LARGE((Input!D$11:D$985=4)*Input!T$11:T$985,9))</f>
        <v>0</v>
      </c>
      <c r="N65" s="36"/>
      <c r="O65" s="37"/>
      <c r="P65" s="32">
        <f>SUMPRODUCT(LARGE((Input!D$11:D$985=5)*Input!T$11:T$985,9))</f>
        <v>0</v>
      </c>
      <c r="Q65" s="36"/>
      <c r="R65" s="37"/>
      <c r="S65" s="32">
        <f>SUMPRODUCT(LARGE((Input!D$11:D$985=6)*Input!T$11:T$985,9))</f>
        <v>0</v>
      </c>
      <c r="T65" s="36"/>
      <c r="U65" s="37"/>
      <c r="V65" s="32">
        <f>SUMPRODUCT(LARGE((Input!D$11:D$985=7)*Input!T$11:T$985,9))</f>
        <v>0</v>
      </c>
      <c r="W65" s="36"/>
      <c r="X65" s="37"/>
      <c r="Y65" s="32">
        <f>SUMPRODUCT(LARGE((Input!D$11:D$985=8)*Input!T$11:T$985,9))</f>
        <v>0</v>
      </c>
      <c r="Z65" s="36"/>
      <c r="AA65" s="37"/>
      <c r="AB65" s="32">
        <f>SUMPRODUCT(LARGE((Input!D$11:D$985=9)*Input!T$11:T$985,9))</f>
        <v>0</v>
      </c>
      <c r="AC65" s="36"/>
      <c r="AD65" s="37"/>
      <c r="AE65" s="32">
        <f>SUMPRODUCT(LARGE((Input!D$11:D$985=10)*Input!T$11:T$985,9))</f>
        <v>0</v>
      </c>
      <c r="AF65" s="36"/>
      <c r="AG65" s="314"/>
      <c r="AH65" s="30">
        <f>SUMPRODUCT(LARGE((Input!$D$11:$D$985=11)*Input!$T$11:$T$985,9))</f>
        <v>0</v>
      </c>
      <c r="AI65" s="64"/>
      <c r="AJ65" s="64"/>
      <c r="AK65" s="11"/>
      <c r="AL65" s="36"/>
      <c r="AM65" s="37"/>
      <c r="AN65" s="30">
        <f>SUMPRODUCT(LARGE((Input!$D$11:$D$985=12)*Input!$T$11:$T$985,9))</f>
        <v>0</v>
      </c>
      <c r="AO65" s="36"/>
      <c r="AP65" s="37"/>
      <c r="AQ65" s="30">
        <f>SUMPRODUCT(LARGE((Input!$D$11:$D$985=13)*Input!$T$11:$T$985,9))</f>
        <v>0</v>
      </c>
      <c r="AR65" s="36"/>
      <c r="AS65" s="37"/>
      <c r="AT65" s="30">
        <f>SUMPRODUCT(LARGE((Input!$D$11:$D$985=144)*Input!$T$11:$T$985,9))</f>
        <v>0</v>
      </c>
      <c r="AU65" s="36"/>
      <c r="AV65" s="37"/>
      <c r="AW65" s="30">
        <f>SUMPRODUCT(LARGE((Input!$D$11:$D$985=15)*Input!$T$11:$T$985,9))</f>
        <v>0</v>
      </c>
      <c r="AX65" s="36"/>
      <c r="AY65" s="37"/>
      <c r="AZ65" s="30">
        <f>SUMPRODUCT(LARGE((Input!$D$11:$D$985=16)*Input!$T$11:$T$985,9))</f>
        <v>0</v>
      </c>
      <c r="BA65" s="36"/>
      <c r="BB65" s="37"/>
      <c r="BC65" s="30">
        <f>SUMPRODUCT(LARGE((Input!$D$11:$D$985=17)*Input!$T$11:$T$985,9))</f>
        <v>0</v>
      </c>
      <c r="BD65" s="36"/>
      <c r="BE65" s="37"/>
      <c r="BF65" s="30">
        <f>SUMPRODUCT(LARGE((Input!$D$11:$D$985=18)*Input!$T$11:$T$985,9))</f>
        <v>0</v>
      </c>
      <c r="BG65" s="36"/>
      <c r="BH65" s="37"/>
      <c r="BI65" s="30">
        <f>SUMPRODUCT(LARGE((Input!$D$11:$D$985=19)*Input!$T$11:$T$985,9))</f>
        <v>0</v>
      </c>
      <c r="BJ65" s="36"/>
      <c r="BK65" s="37"/>
      <c r="BL65" s="30">
        <f>SUMPRODUCT(LARGE((Input!$D$11:$D$985=20)*Input!$T$11:$T$985,9))</f>
        <v>0</v>
      </c>
      <c r="BM65" s="36"/>
      <c r="BN65" s="39"/>
    </row>
    <row r="66" spans="3:66" ht="13.5" hidden="1" thickBot="1" x14ac:dyDescent="0.3">
      <c r="C66" s="11"/>
      <c r="D66" s="30">
        <f>SUMPRODUCT(LARGE((Input!$D$11:$D$985=1)*Input!$T$11:$T$985,10))</f>
        <v>0</v>
      </c>
      <c r="E66" s="35"/>
      <c r="F66" s="37"/>
      <c r="G66" s="32">
        <f>SUMPRODUCT(LARGE((Input!D$11:D$985=2)*Input!T$11:T$985,10))</f>
        <v>0</v>
      </c>
      <c r="H66" s="36"/>
      <c r="I66" s="37"/>
      <c r="J66" s="32">
        <f>SUMPRODUCT(LARGE((Input!D$11:D$985=3)*Input!T$11:T$985,10))</f>
        <v>0</v>
      </c>
      <c r="K66" s="36"/>
      <c r="L66" s="38"/>
      <c r="M66" s="34">
        <f>SUMPRODUCT(LARGE((Input!D$11:D$985=4)*Input!T$11:T$985,10))</f>
        <v>0</v>
      </c>
      <c r="N66" s="36"/>
      <c r="O66" s="37"/>
      <c r="P66" s="32">
        <f>SUMPRODUCT(LARGE((Input!D$11:D$985=5)*Input!T$11:T$985,10))</f>
        <v>0</v>
      </c>
      <c r="Q66" s="36"/>
      <c r="R66" s="37"/>
      <c r="S66" s="32">
        <f>SUMPRODUCT(LARGE((Input!D$11:D$985=6)*Input!T$11:T$985,10))</f>
        <v>0</v>
      </c>
      <c r="T66" s="36"/>
      <c r="U66" s="37"/>
      <c r="V66" s="32">
        <f>SUMPRODUCT(LARGE((Input!D$11:D$985=7)*Input!T$11:T$985,10))</f>
        <v>0</v>
      </c>
      <c r="W66" s="36"/>
      <c r="X66" s="37"/>
      <c r="Y66" s="32">
        <f>SUMPRODUCT(LARGE((Input!D$11:D$985=8)*Input!T$11:T$985,10))</f>
        <v>0</v>
      </c>
      <c r="Z66" s="36"/>
      <c r="AA66" s="37"/>
      <c r="AB66" s="32">
        <f>SUMPRODUCT(LARGE((Input!D$11:D$985=9)*Input!T$11:T$985,10))</f>
        <v>0</v>
      </c>
      <c r="AC66" s="36"/>
      <c r="AD66" s="37"/>
      <c r="AE66" s="32">
        <f>SUMPRODUCT(LARGE((Input!D$11:D$985=10)*Input!T$11:T$985,10))</f>
        <v>0</v>
      </c>
      <c r="AF66" s="36"/>
      <c r="AG66" s="314"/>
      <c r="AH66" s="30">
        <f>SUMPRODUCT(LARGE((Input!$D$11:$D$985=11)*Input!$T$11:$T$985,10))</f>
        <v>0</v>
      </c>
      <c r="AI66" s="64"/>
      <c r="AJ66" s="64"/>
      <c r="AK66" s="11"/>
      <c r="AL66" s="36"/>
      <c r="AM66" s="37"/>
      <c r="AN66" s="30">
        <f>SUMPRODUCT(LARGE((Input!$D$11:$D$985=12)*Input!$T$11:$T$985,10))</f>
        <v>0</v>
      </c>
      <c r="AO66" s="36"/>
      <c r="AP66" s="37"/>
      <c r="AQ66" s="30">
        <f>SUMPRODUCT(LARGE((Input!$D$11:$D$985=13)*Input!$T$11:$T$985,10))</f>
        <v>0</v>
      </c>
      <c r="AR66" s="36"/>
      <c r="AS66" s="37"/>
      <c r="AT66" s="30">
        <f>SUMPRODUCT(LARGE((Input!$D$11:$D$985=14)*Input!$T$11:$T$985,10))</f>
        <v>0</v>
      </c>
      <c r="AU66" s="36"/>
      <c r="AV66" s="37"/>
      <c r="AW66" s="30">
        <f>SUMPRODUCT(LARGE((Input!$D$11:$D$985=15)*Input!$T$11:$T$985,10))</f>
        <v>0</v>
      </c>
      <c r="AX66" s="36"/>
      <c r="AY66" s="37"/>
      <c r="AZ66" s="30">
        <f>SUMPRODUCT(LARGE((Input!$D$11:$D$985=16)*Input!$T$11:$T$985,10))</f>
        <v>0</v>
      </c>
      <c r="BA66" s="36"/>
      <c r="BB66" s="37"/>
      <c r="BC66" s="30">
        <f>SUMPRODUCT(LARGE((Input!$D$11:$D$985=17)*Input!$T$11:$T$985,10))</f>
        <v>0</v>
      </c>
      <c r="BD66" s="36"/>
      <c r="BE66" s="37"/>
      <c r="BF66" s="30">
        <f>SUMPRODUCT(LARGE((Input!$D$11:$D$985=18)*Input!$T$11:$T$985,10))</f>
        <v>0</v>
      </c>
      <c r="BG66" s="36"/>
      <c r="BH66" s="37"/>
      <c r="BI66" s="30">
        <f>SUMPRODUCT(LARGE((Input!$D$11:$D$985=19)*Input!$T$11:$T$985,10))</f>
        <v>0</v>
      </c>
      <c r="BJ66" s="36"/>
      <c r="BK66" s="37"/>
      <c r="BL66" s="30">
        <f>SUMPRODUCT(LARGE((Input!$D$11:$D$985=20)*Input!$T$11:$T$985,10))</f>
        <v>0</v>
      </c>
      <c r="BM66" s="36"/>
      <c r="BN66" s="39"/>
    </row>
    <row r="67" spans="3:66" ht="16" customHeight="1" thickBot="1" x14ac:dyDescent="0.3">
      <c r="C67" s="644" t="s">
        <v>27</v>
      </c>
      <c r="D67" s="45"/>
      <c r="E67" s="35" t="str">
        <f>IF(E68&gt;0,RANK(E68,($E68,$H68,$K68,$N68,$Q68,$T68,$W68,$Z68,$AC68,$AF68,$AL68,$AO68,$AR68,$AU68,$AX68,$BA68,$BD68,$BG68,$BJ68,$BM68),0)," ")</f>
        <v xml:space="preserve"> </v>
      </c>
      <c r="F67" s="671" t="str">
        <f>IF(E67&gt;0,IF(ISERROR(($C$1*2)-((E67-1)*2))," ",(($C$1*2)-((E67-1)*2))))</f>
        <v xml:space="preserve"> </v>
      </c>
      <c r="G67" s="58"/>
      <c r="H67" s="36" t="str">
        <f>IF(H68&gt;0,RANK(H68,($E68,$H68,$K68,$N68,$Q68,$T68,$W68,$Z68,$AC68,$AF68,$AL68,$AO68,$AR68,$AU68,$AX68,$BA68,$BD68,$BG68,$BJ68,$BM68),0)," ")</f>
        <v xml:space="preserve"> </v>
      </c>
      <c r="I67" s="671" t="str">
        <f>IF(H67&gt;0,IF(ISERROR(($C$1*2)-((H67-1)*2))," ",(($C$1*2)-((H67-1)*2))))</f>
        <v xml:space="preserve"> </v>
      </c>
      <c r="J67" s="58"/>
      <c r="K67" s="36" t="str">
        <f>IF(K68&gt;0,RANK(K68,($E68,$H68,$K68,$N68,$Q68,$T68,$W68,$Z68,$AC68,$AF68,$AL68,$AO68,$AR68,$AU68,$AX68,$BA68,$BD68,$BG68,$BJ68,$BM68),0)," ")</f>
        <v xml:space="preserve"> </v>
      </c>
      <c r="L67" s="672" t="str">
        <f>IF(K67&gt;0,IF(ISERROR(($C$1*2)-((K67-1)*2))," ",(($C$1*2)-((K67-1)*2))))</f>
        <v xml:space="preserve"> </v>
      </c>
      <c r="M67" s="59"/>
      <c r="N67" s="36" t="str">
        <f>IF(N68&gt;0,RANK(N68,($E68,$H68,$K68,$N68,$Q68,$T68,$W68,$Z68,$AC68,$AF68,$AL68,$AO68,$AR68,$AU68,$AX68,$BA68,$BD68,$BG68,$BJ68,$BM68),0)," ")</f>
        <v xml:space="preserve"> </v>
      </c>
      <c r="O67" s="671" t="str">
        <f>IF(N67&gt;0,IF(ISERROR(($C$1*2)-((N67-1)*2))," ",(($C$1*2)-((N67-1)*2))))</f>
        <v xml:space="preserve"> </v>
      </c>
      <c r="P67" s="58"/>
      <c r="Q67" s="36" t="str">
        <f>IF(Q68&gt;0,RANK(Q68,($E68,$H68,$K68,$N68,$Q68,$T68,$W68,$Z68,$AC68,$AF68,$AL68,$AO68,$AR68,$AU68,$AX68,$BA68,$BD68,$BG68,$BJ68,$BM68),0)," ")</f>
        <v xml:space="preserve"> </v>
      </c>
      <c r="R67" s="671" t="str">
        <f>IF(Q67&gt;0,IF(ISERROR(($C$1*2)-((Q67-1)*2))," ",(($C$1*2)-((Q67-1)*2))))</f>
        <v xml:space="preserve"> </v>
      </c>
      <c r="S67" s="58"/>
      <c r="T67" s="36" t="str">
        <f>IF(T68&gt;0,RANK(T68,($E68,$H68,$K68,$N68,$Q68,$T68,$W68,$Z68,$AC68,$AF68,$AL68,$AO68,$AR68,$AU68,$AX68,$BA68,$BD68,$BG68,$BJ68,$BM68),0)," ")</f>
        <v xml:space="preserve"> </v>
      </c>
      <c r="U67" s="671" t="str">
        <f>IF(T67&gt;0,IF(ISERROR(($C$1*2)-((T67-1)*2))," ",(($C$1*2)-((T67-1)*2))))</f>
        <v xml:space="preserve"> </v>
      </c>
      <c r="V67" s="58"/>
      <c r="W67" s="36" t="str">
        <f>IF(W68&gt;0,RANK(W68,($E68,$H68,$K68,$N68,$Q68,$T68,$W68,$Z68,$AC68,$AF68,$AL68,$AO68,$AR68,$AU68,$AX68,$BA68,$BD68,$BG68,$BJ68,$BM68),0)," ")</f>
        <v xml:space="preserve"> </v>
      </c>
      <c r="X67" s="671" t="str">
        <f>IF(W67&gt;0,IF(ISERROR(($C$1*2)-((W67-1)*2))," ",(($C$1*2)-((W67-1)*2))))</f>
        <v xml:space="preserve"> </v>
      </c>
      <c r="Y67" s="58"/>
      <c r="Z67" s="36" t="str">
        <f>IF(Z68&gt;0,RANK(Z68,($E68,$H68,$K68,$N68,$Q68,$T68,$W68,$Z68,$AC68,$AF68,$AL68,$AO68,$AR68,$AU68,$AX68,$BA68,$BD68,$BG68,$BJ68,$BM68),0)," ")</f>
        <v xml:space="preserve"> </v>
      </c>
      <c r="AA67" s="671" t="str">
        <f>IF(Z67&gt;0,IF(ISERROR(($C$1*2)-((Z67-1)*2))," ",(($C$1*2)-((Z67-1)*2))))</f>
        <v xml:space="preserve"> </v>
      </c>
      <c r="AB67" s="58"/>
      <c r="AC67" s="36" t="str">
        <f>IF(AC68&gt;0,RANK(AC68,($E68,$H68,$K68,$N68,$Q68,$T68,$W68,$Z68,$AC68,$AF68,$AL68,$AO68,$AR68,$AU68,$AX68,$BA68,$BD68,$BG68,$BJ68,$BM68),0)," ")</f>
        <v xml:space="preserve"> </v>
      </c>
      <c r="AD67" s="671" t="str">
        <f>IF(AC67&gt;0,IF(ISERROR(($C$1*2)-((AC67-1)*2))," ",(($C$1*2)-((AC67-1)*2))))</f>
        <v xml:space="preserve"> </v>
      </c>
      <c r="AE67" s="58"/>
      <c r="AF67" s="36" t="str">
        <f>IF(AF68&gt;0,RANK(AF68,($E68,$H68,$K68,$N68,$Q68,$T68,$W68,$Z68,$AC68,$AF68,$AL68,$AO68,$AR68,$AU68,$AX68,$BA68,$BD68,$BG68,$BJ68,$BM68),0)," ")</f>
        <v xml:space="preserve"> </v>
      </c>
      <c r="AG67" s="670" t="str">
        <f>IF(AF67&gt;0,IF(ISERROR(($C$1*2)-((AF67-1)*2))," ",(($C$1*2)-((AF67-1)*2))))</f>
        <v xml:space="preserve"> </v>
      </c>
      <c r="AH67" s="59"/>
      <c r="AI67" s="347"/>
      <c r="AJ67" s="347"/>
      <c r="AK67" s="644" t="s">
        <v>27</v>
      </c>
      <c r="AL67" s="36" t="str">
        <f>IF(AL68&gt;0,RANK(AL68,($E68,$H68,$K68,$N68,$Q68,$T68,$W68,$Z68,$AC68,$AF68,$AL68,$AO68,$AR68,$AU68,$AX68,$BA68,$BD68,$BG68,$BJ68,$BM68),0)," ")</f>
        <v xml:space="preserve"> </v>
      </c>
      <c r="AM67" s="671" t="str">
        <f>IF(AL67&gt;0,IF(ISERROR(($C$1*2)-((AL67-1)*2))," ",(($C$1*2)-((AL67-1)*2))))</f>
        <v xml:space="preserve"> </v>
      </c>
      <c r="AN67" s="59"/>
      <c r="AO67" s="36" t="str">
        <f>IF(AO68&gt;0,RANK(AO68,($E68,$H68,$K68,$N68,$Q68,$T68,$W68,$Z68,$AC68,$AF68,$AL68,$AO68,$AR68,$AU68,$AX68,$BA68,$BD68,$BG68,$BJ68,$BM68),0)," ")</f>
        <v xml:space="preserve"> </v>
      </c>
      <c r="AP67" s="671" t="str">
        <f>IF(AO67&gt;0,IF(ISERROR(($C$1*2)-((AO67-1)*2))," ",(($C$1*2)-((AO67-1)*2))))</f>
        <v xml:space="preserve"> </v>
      </c>
      <c r="AQ67" s="59"/>
      <c r="AR67" s="36" t="str">
        <f>IF(AR68&gt;0,RANK(AR68,($E68,$H68,$K68,$N68,$Q68,$T68,$W68,$Z68,$AC68,$AF68,$AL68,$AO68,$AR68,$AU68,$AX68,$BA68,$BD68,$BG68,$BJ68,$BM68),0)," ")</f>
        <v xml:space="preserve"> </v>
      </c>
      <c r="AS67" s="671" t="str">
        <f>IF(AR67&gt;0,IF(ISERROR(($C$1*2)-((AR67-1)*2))," ",(($C$1*2)-((AR67-1)*2))))</f>
        <v xml:space="preserve"> </v>
      </c>
      <c r="AT67" s="59"/>
      <c r="AU67" s="36" t="str">
        <f>IF(AU68&gt;0,RANK(AU68,($E68,$H68,$K68,$N68,$Q68,$T68,$W68,$Z68,$AC68,$AF68,$AL68,$AO68,$AR68,$AU68,$AX68,$BA68,$BD68,$BG68,$BJ68,$BM68),0)," ")</f>
        <v xml:space="preserve"> </v>
      </c>
      <c r="AV67" s="671" t="str">
        <f>IF(AU67&gt;0,IF(ISERROR(($C$1*2)-((AU67-1)*2))," ",(($C$1*2)-((AU67-1)*2))))</f>
        <v xml:space="preserve"> </v>
      </c>
      <c r="AW67" s="59"/>
      <c r="AX67" s="36" t="str">
        <f>IF(AX68&gt;0,RANK(AX68,($E68,$H68,$K68,$N68,$Q68,$T68,$W68,$Z68,$AC68,$AF68,$AL68,$AO68,$AR68,$AU68,$AX68,$BA68,$BD68,$BG68,$BJ68,$BM68),0)," ")</f>
        <v xml:space="preserve"> </v>
      </c>
      <c r="AY67" s="671" t="str">
        <f>IF(AX67&gt;0,IF(ISERROR(($C$1*2)-((AX67-1)*2))," ",(($C$1*2)-((AX67-1)*2))))</f>
        <v xml:space="preserve"> </v>
      </c>
      <c r="AZ67" s="59"/>
      <c r="BA67" s="36" t="str">
        <f>IF(BA68&gt;0,RANK(BA68,($E68,$H68,$K68,$N68,$Q68,$T68,$W68,$Z68,$AC68,$AF68,$AL68,$AO68,$AR68,$AU68,$AX68,$BA68,$BD68,$BG68,$BJ68,$BM68),0)," ")</f>
        <v xml:space="preserve"> </v>
      </c>
      <c r="BB67" s="671" t="str">
        <f>IF(BA67&gt;0,IF(ISERROR(($C$1*2)-((BA67-1)*2))," ",(($C$1*2)-((BA67-1)*2))))</f>
        <v xml:space="preserve"> </v>
      </c>
      <c r="BC67" s="59"/>
      <c r="BD67" s="36" t="str">
        <f>IF(BD68&gt;0,RANK(BD68,($E68,$H68,$K68,$N68,$Q68,$T68,$W68,$Z68,$AC68,$AF68,$AL68,$AO68,$AR68,$AU68,$AX68,$BA68,$BD68,$BG68,$BJ68,$BM68),0)," ")</f>
        <v xml:space="preserve"> </v>
      </c>
      <c r="BE67" s="671" t="str">
        <f>IF(BD67&gt;0,IF(ISERROR(($C$1*2)-((BD67-1)*2))," ",(($C$1*2)-((BD67-1)*2))))</f>
        <v xml:space="preserve"> </v>
      </c>
      <c r="BF67" s="59"/>
      <c r="BG67" s="36" t="str">
        <f>IF(BG68&gt;0,RANK(BG68,($E68,$H68,$K68,$N68,$Q68,$T68,$W68,$Z68,$AC68,$AF68,$AL68,$AO68,$AR68,$AU68,$AX68,$BA68,$BD68,$BG68,$BJ68,$BM68),0)," ")</f>
        <v xml:space="preserve"> </v>
      </c>
      <c r="BH67" s="671" t="str">
        <f>IF(BG67&gt;0,IF(ISERROR(($C$1*2)-((BG67-1)*2))," ",(($C$1*2)-((BG67-1)*2))))</f>
        <v xml:space="preserve"> </v>
      </c>
      <c r="BI67" s="59"/>
      <c r="BJ67" s="36" t="str">
        <f>IF(BJ68&gt;0,RANK(BJ68,($E68,$H68,$K68,$N68,$Q68,$T68,$W68,$Z68,$AC68,$AF68,$AL68,$AO68,$AR68,$AU68,$AX68,$BA68,$BD68,$BG68,$BJ68,$BM68),0)," ")</f>
        <v xml:space="preserve"> </v>
      </c>
      <c r="BK67" s="671" t="str">
        <f>IF(BJ67&gt;0,IF(ISERROR(($C$1*2)-((BJ67-1)*2))," ",(($C$1*2)-((BJ67-1)*2))))</f>
        <v xml:space="preserve"> </v>
      </c>
      <c r="BL67" s="59"/>
      <c r="BM67" s="36" t="str">
        <f>IF(BM68&gt;0,RANK(BM68,($E68,$H68,$K68,$N68,$Q68,$T68,$W68,$Z68,$AC68,$AF68,$AL68,$AO68,$AR68,$AU68,$AX68,$BA68,$BD68,$BG68,$BJ68,$BM68),0)," ")</f>
        <v xml:space="preserve"> </v>
      </c>
      <c r="BN67" s="670" t="str">
        <f>IF(BM67&gt;0,IF(ISERROR(($C$1*2)-((BM67-1)*2))," ",(($C$1*2)-((BM67-1)*2))))</f>
        <v xml:space="preserve"> </v>
      </c>
    </row>
    <row r="68" spans="3:66" ht="16" customHeight="1" thickBot="1" x14ac:dyDescent="0.3">
      <c r="C68" s="644"/>
      <c r="D68" s="50">
        <f>SUMPRODUCT(LARGE((Input!$D$11:$D$985=1)*Input!$U$11:$U$985,1))</f>
        <v>0</v>
      </c>
      <c r="E68" s="35">
        <f>IF($A$1=4,SUM(D68:D71),IF($A$1=5,SUM(D68:D72),IF($A$1=6,SUM(D68:D73),IF($A$1=7,SUM(D68:D74),IF($A$1=8,SUM(D68:D75),IF($A$1=9,SUM(D68:D76),IF($A$1=10,SUM(D68:D77))))))))</f>
        <v>0</v>
      </c>
      <c r="F68" s="671"/>
      <c r="G68" s="60">
        <f>SUMPRODUCT(LARGE((Input!D$11:D$985=2)*Input!U$11:U$985,1))</f>
        <v>0</v>
      </c>
      <c r="H68" s="36">
        <f>IF($A$1=4,SUM(G68:G71),IF($A$1=5,SUM(G68:G72),IF($A$1=6,SUM(G68:G73),IF($A$1=7,SUM(G68:G74),IF($A$1=8,SUM(G68:G75),IF($A$1=9,SUM(G68:G76),IF($A$1=10,SUM(G68:G77))))))))</f>
        <v>0</v>
      </c>
      <c r="I68" s="671"/>
      <c r="J68" s="60">
        <f>SUMPRODUCT(LARGE((Input!D$11:D$985=3)*Input!U$11:U$985,1))</f>
        <v>0</v>
      </c>
      <c r="K68" s="36">
        <f>IF($A$1=4,SUM(J68:J71),IF($A$1=5,SUM(J68:J72),IF($A$1=6,SUM(J68:J73),IF($A$1=7,SUM(J68:J74),IF($A$1=8,SUM(J68:J75),IF($A$1=9,SUM(J68:J76),IF($A$1=10,SUM(J68:J77))))))))</f>
        <v>0</v>
      </c>
      <c r="L68" s="672"/>
      <c r="M68" s="61">
        <f>SUMPRODUCT(LARGE((Input!D$11:D$985=4)*Input!U$11:U$985,1))</f>
        <v>0</v>
      </c>
      <c r="N68" s="36">
        <f>IF($A$1=4,SUM(M68:M71),IF($A$1=5,SUM(M68:M72),IF($A$1=6,SUM(M68:M73),IF($A$1=7,SUM(M68:M74),IF($A$1=8,SUM(M68:M75),IF($A$1=9,SUM(M68:M76),IF($A$1=10,SUM(M68:M77))))))))</f>
        <v>0</v>
      </c>
      <c r="O68" s="671"/>
      <c r="P68" s="60">
        <f>SUMPRODUCT(LARGE((Input!D$11:D$985=5)*Input!U$11:U$985,1))</f>
        <v>0</v>
      </c>
      <c r="Q68" s="36">
        <f>IF($A$1=4,SUM(P68:P71),IF($A$1=5,SUM(P68:P72),IF($A$1=6,SUM(P68:P73),IF($A$1=7,SUM(P68:P74),IF($A$1=8,SUM(P68:P75),IF($A$1=9,SUM(P68:P76),IF($A$1=10,SUM(P68:P77))))))))</f>
        <v>0</v>
      </c>
      <c r="R68" s="671"/>
      <c r="S68" s="60">
        <f>SUMPRODUCT(LARGE((Input!D$11:D$985=6)*Input!U$11:U$985,1))</f>
        <v>0</v>
      </c>
      <c r="T68" s="36">
        <f>IF($A$1=4,SUM(S68:S71),IF($A$1=5,SUM(S68:S72),IF($A$1=6,SUM(S68:S73),IF($A$1=7,SUM(S68:S74),IF($A$1=8,SUM(S68:S75),IF($A$1=9,SUM(S68:S76),IF($A$1=10,SUM(S68:S77))))))))</f>
        <v>0</v>
      </c>
      <c r="U68" s="671"/>
      <c r="V68" s="60">
        <f>SUMPRODUCT(LARGE((Input!D$11:D$985=7)*Input!U$11:U$985,1))</f>
        <v>0</v>
      </c>
      <c r="W68" s="36">
        <f>IF($A$1=4,SUM(V68:V71),IF($A$1=5,SUM(V68:V72),IF($A$1=6,SUM(V68:V73),IF($A$1=7,SUM(V68:V74),IF($A$1=8,SUM(V68:V75),IF($A$1=9,SUM(V68:V76),IF($A$1=10,SUM(V68:V77))))))))</f>
        <v>0</v>
      </c>
      <c r="X68" s="671"/>
      <c r="Y68" s="60">
        <f>SUMPRODUCT(LARGE((Input!D$11:D$985=8)*Input!U$11:U$985,1))</f>
        <v>0</v>
      </c>
      <c r="Z68" s="36">
        <f>IF($A$1=4,SUM(Y68:Y71),IF($A$1=5,SUM(Y68:Y72),IF($A$1=6,SUM(Y68:Y73),IF($A$1=7,SUM(Y68:Y74),IF($A$1=8,SUM(Y68:Y75),IF($A$1=9,SUM(Y68:Y76),IF($A$1=10,SUM(Y68:Y77))))))))</f>
        <v>0</v>
      </c>
      <c r="AA68" s="671"/>
      <c r="AB68" s="60">
        <f>SUMPRODUCT(LARGE((Input!D$11:D$985=9)*Input!U$11:U$985,1))</f>
        <v>0</v>
      </c>
      <c r="AC68" s="36">
        <f>IF($A$1=4,SUM(AB68:AB71),IF($A$1=5,SUM(AB68:AB72),IF($A$1=6,SUM(AB68:AB73),IF($A$1=7,SUM(AB68:AB74),IF($A$1=8,SUM(AB68:AB75),IF($A$1=9,SUM(AB68:AB76),IF($A$1=10,SUM(AB68:AB77))))))))</f>
        <v>0</v>
      </c>
      <c r="AD68" s="671"/>
      <c r="AE68" s="60">
        <f>SUMPRODUCT(LARGE((Input!D$11:D$985=10)*Input!U$11:U$985,1))</f>
        <v>0</v>
      </c>
      <c r="AF68" s="36">
        <f>IF($A$1=4,SUM(AE68:AE71),IF($A$1=5,SUM(AE68:AE72),IF($A$1=6,SUM(AE68:AE73),IF($A$1=7,SUM(AE68:AE74),IF($A$1=8,SUM(AE68:AE75),IF($A$1=9,SUM(AE68:AE76),IF($A$1=10,SUM(AE68:AE77))))))))</f>
        <v>0</v>
      </c>
      <c r="AG68" s="670"/>
      <c r="AH68" s="50">
        <f>SUMPRODUCT(LARGE((Input!$D$11:$D$985=11)*Input!$U$11:$U$985,1))</f>
        <v>0</v>
      </c>
      <c r="AI68" s="64"/>
      <c r="AJ68" s="64"/>
      <c r="AK68" s="644"/>
      <c r="AL68" s="36">
        <f>IF($A$1=4,SUM(AH68:AH71),IF($A$1=5,SUM(AH68:AH72),IF($A$1=6,SUM(AH68:AH73),IF($A$1=7,SUM(AH68:AH74),IF($A$1=8,SUM(AH68:AH75),IF($A$1=9,SUM(AH68:AH76),IF($A$1=10,SUM(AH68:AH77))))))))</f>
        <v>0</v>
      </c>
      <c r="AM68" s="671"/>
      <c r="AN68" s="50">
        <f>SUMPRODUCT(LARGE((Input!$D$11:$D$985=12)*Input!$U$11:$U$985,1))</f>
        <v>0</v>
      </c>
      <c r="AO68" s="36">
        <f>IF($A$1=4,SUM(AN68:AN71),IF($A$1=5,SUM(AN68:AN72),IF($A$1=6,SUM(AN68:AN73),IF($A$1=7,SUM(AN68:AN74),IF($A$1=8,SUM(AN68:AN75),IF($A$1=9,SUM(AN68:AN76),IF($A$1=10,SUM(AN68:AN77))))))))</f>
        <v>0</v>
      </c>
      <c r="AP68" s="671"/>
      <c r="AQ68" s="50">
        <f>SUMPRODUCT(LARGE((Input!$D$11:$D$985=13)*Input!$U$11:$U$985,1))</f>
        <v>0</v>
      </c>
      <c r="AR68" s="36">
        <f>IF($A$1=4,SUM(AQ68:AQ71),IF($A$1=5,SUM(AQ68:AQ72),IF($A$1=6,SUM(AQ68:AQ73),IF($A$1=7,SUM(AQ68:AQ74),IF($A$1=8,SUM(AQ68:AQ75),IF($A$1=9,SUM(AQ68:AQ76),IF($A$1=10,SUM(AQ68:AQ77))))))))</f>
        <v>0</v>
      </c>
      <c r="AS68" s="671"/>
      <c r="AT68" s="50">
        <f>SUMPRODUCT(LARGE((Input!$D$11:$D$985=14)*Input!$U$11:$U$985,1))</f>
        <v>0</v>
      </c>
      <c r="AU68" s="36">
        <f>IF($A$1=4,SUM(AT68:AT71),IF($A$1=5,SUM(AT68:AT72),IF($A$1=6,SUM(AT68:AT73),IF($A$1=7,SUM(AT68:AT74),IF($A$1=8,SUM(AT68:AT75),IF($A$1=9,SUM(AT68:AT76),IF($A$1=10,SUM(AT68:AT77))))))))</f>
        <v>0</v>
      </c>
      <c r="AV68" s="671"/>
      <c r="AW68" s="50">
        <f>SUMPRODUCT(LARGE((Input!$D$11:$D$985=15)*Input!$U$11:$U$985,1))</f>
        <v>0</v>
      </c>
      <c r="AX68" s="36">
        <f>IF($A$1=4,SUM(AW68:AW71),IF($A$1=5,SUM(AW68:AW72),IF($A$1=6,SUM(AW68:AW73),IF($A$1=7,SUM(AW68:AW74),IF($A$1=8,SUM(AW68:AW75),IF($A$1=9,SUM(AW68:AW76),IF($A$1=10,SUM(AW68:AW77))))))))</f>
        <v>0</v>
      </c>
      <c r="AY68" s="671"/>
      <c r="AZ68" s="50">
        <f>SUMPRODUCT(LARGE((Input!$D$11:$D$985=16)*Input!$U$11:$U$985,1))</f>
        <v>0</v>
      </c>
      <c r="BA68" s="36">
        <f>IF($A$1=4,SUM(AZ68:AZ71),IF($A$1=5,SUM(AZ68:AZ72),IF($A$1=6,SUM(AZ68:AZ73),IF($A$1=7,SUM(AZ68:AZ74),IF($A$1=8,SUM(AZ68:AZ75),IF($A$1=9,SUM(AZ68:AZ76),IF($A$1=10,SUM(AZ68:AZ77))))))))</f>
        <v>0</v>
      </c>
      <c r="BB68" s="671"/>
      <c r="BC68" s="50">
        <f>SUMPRODUCT(LARGE((Input!$D$11:$D$985=17)*Input!$U$11:$U$985,1))</f>
        <v>0</v>
      </c>
      <c r="BD68" s="36">
        <f>IF($A$1=4,SUM(BC68:BC71),IF($A$1=5,SUM(BC68:BC72),IF($A$1=6,SUM(BC68:BC73),IF($A$1=7,SUM(BC68:BC74),IF($A$1=8,SUM(BC68:BC75),IF($A$1=9,SUM(BC68:BC76),IF($A$1=10,SUM(BC68:BC77))))))))</f>
        <v>0</v>
      </c>
      <c r="BE68" s="671"/>
      <c r="BF68" s="50">
        <f>SUMPRODUCT(LARGE((Input!$D$11:$D$985=18)*Input!$U$11:$U$985,1))</f>
        <v>0</v>
      </c>
      <c r="BG68" s="36">
        <f>IF($A$1=4,SUM(BF68:BF71),IF($A$1=5,SUM(BF68:BF72),IF($A$1=6,SUM(BF68:BF73),IF($A$1=7,SUM(BF68:BF74),IF($A$1=8,SUM(BF68:BF75),IF($A$1=9,SUM(BF68:BF76),IF($A$1=10,SUM(BF68:BF77))))))))</f>
        <v>0</v>
      </c>
      <c r="BH68" s="671"/>
      <c r="BI68" s="50">
        <f>SUMPRODUCT(LARGE((Input!$D$11:$D$985=19)*Input!$U$11:$U$985,1))</f>
        <v>0</v>
      </c>
      <c r="BJ68" s="36">
        <f>IF($A$1=4,SUM(BI68:BI71),IF($A$1=5,SUM(BI68:BI72),IF($A$1=6,SUM(BI68:BI73),IF($A$1=7,SUM(BI68:BI74),IF($A$1=8,SUM(BI68:BI75),IF($A$1=9,SUM(BI68:BI76),IF($A$1=10,SUM(BI68:BI77))))))))</f>
        <v>0</v>
      </c>
      <c r="BK68" s="671"/>
      <c r="BL68" s="50">
        <f>SUMPRODUCT(LARGE((Input!$D$11:$D$985=20)*Input!$U$11:$U$985,1))</f>
        <v>0</v>
      </c>
      <c r="BM68" s="36">
        <f>IF($A$1=4,SUM(BL68:BL71),IF($A$1=5,SUM(BL68:BL72),IF($A$1=6,SUM(BL68:BL73),IF($A$1=7,SUM(BL68:BL74),IF($A$1=8,SUM(BL68:BL75),IF($A$1=9,SUM(BL68:BL76),IF($A$1=10,SUM(BL68:BL77))))))))</f>
        <v>0</v>
      </c>
      <c r="BN68" s="670"/>
    </row>
    <row r="69" spans="3:66" ht="13.5" hidden="1" thickBot="1" x14ac:dyDescent="0.3">
      <c r="C69" s="11"/>
      <c r="D69" s="30">
        <f>SUMPRODUCT(LARGE((Input!$D$11:$D$985=1)*Input!$U$11:$U$985,2))</f>
        <v>0</v>
      </c>
      <c r="E69" s="35"/>
      <c r="F69" s="37"/>
      <c r="G69" s="32">
        <f>SUMPRODUCT(LARGE((Input!D$11:D$985=2)*Input!U$11:U$985,2))</f>
        <v>0</v>
      </c>
      <c r="H69" s="36"/>
      <c r="I69" s="37"/>
      <c r="J69" s="32">
        <f>SUMPRODUCT(LARGE((Input!D$11:D$985=3)*Input!U$11:U$985,2))</f>
        <v>0</v>
      </c>
      <c r="K69" s="36"/>
      <c r="L69" s="38"/>
      <c r="M69" s="34">
        <f>SUMPRODUCT(LARGE((Input!D$11:D$985=4)*Input!U$11:U$985,2))</f>
        <v>0</v>
      </c>
      <c r="N69" s="36"/>
      <c r="O69" s="37"/>
      <c r="P69" s="32">
        <f>SUMPRODUCT(LARGE((Input!D$11:D$985=5)*Input!U$11:U$985,2))</f>
        <v>0</v>
      </c>
      <c r="Q69" s="36"/>
      <c r="R69" s="37"/>
      <c r="S69" s="32">
        <f>SUMPRODUCT(LARGE((Input!D$11:D$985=6)*Input!U$11:U$985,2))</f>
        <v>0</v>
      </c>
      <c r="T69" s="36"/>
      <c r="U69" s="37"/>
      <c r="V69" s="32">
        <f>SUMPRODUCT(LARGE((Input!D$11:D$985=7)*Input!U$11:U$985,2))</f>
        <v>0</v>
      </c>
      <c r="W69" s="36"/>
      <c r="X69" s="37"/>
      <c r="Y69" s="32">
        <f>SUMPRODUCT(LARGE((Input!D$11:D$985=8)*Input!U$11:U$985,2))</f>
        <v>0</v>
      </c>
      <c r="Z69" s="36"/>
      <c r="AA69" s="37"/>
      <c r="AB69" s="32">
        <f>SUMPRODUCT(LARGE((Input!D$11:D$985=9)*Input!U$11:U$985,2))</f>
        <v>0</v>
      </c>
      <c r="AC69" s="36"/>
      <c r="AD69" s="37"/>
      <c r="AE69" s="32">
        <f>SUMPRODUCT(LARGE((Input!D$11:D$985=10)*Input!U$11:U$985,2))</f>
        <v>0</v>
      </c>
      <c r="AF69" s="36"/>
      <c r="AG69" s="314"/>
      <c r="AH69" s="30">
        <f>SUMPRODUCT(LARGE((Input!$D$11:$D$985=11)*Input!$U$11:$U$985,2))</f>
        <v>0</v>
      </c>
      <c r="AI69" s="64"/>
      <c r="AJ69" s="64"/>
      <c r="AK69" s="11"/>
      <c r="AL69" s="36"/>
      <c r="AM69" s="37"/>
      <c r="AN69" s="30">
        <f>SUMPRODUCT(LARGE((Input!$D$11:$D$985=12)*Input!$U$11:$U$985,2))</f>
        <v>0</v>
      </c>
      <c r="AO69" s="36"/>
      <c r="AP69" s="37"/>
      <c r="AQ69" s="30">
        <f>SUMPRODUCT(LARGE((Input!$D$11:$D$985=13)*Input!$U$11:$U$985,2))</f>
        <v>0</v>
      </c>
      <c r="AR69" s="36"/>
      <c r="AS69" s="37"/>
      <c r="AT69" s="30">
        <f>SUMPRODUCT(LARGE((Input!$D$11:$D$985=14)*Input!$U$11:$U$985,2))</f>
        <v>0</v>
      </c>
      <c r="AU69" s="36"/>
      <c r="AV69" s="37"/>
      <c r="AW69" s="30">
        <f>SUMPRODUCT(LARGE((Input!$D$11:$D$985=15)*Input!$U$11:$U$985,2))</f>
        <v>0</v>
      </c>
      <c r="AX69" s="36"/>
      <c r="AY69" s="37"/>
      <c r="AZ69" s="30">
        <f>SUMPRODUCT(LARGE((Input!$D$11:$D$985=16)*Input!$U$11:$U$985,2))</f>
        <v>0</v>
      </c>
      <c r="BA69" s="36"/>
      <c r="BB69" s="37"/>
      <c r="BC69" s="30">
        <f>SUMPRODUCT(LARGE((Input!$D$11:$D$985=17)*Input!$U$11:$U$985,2))</f>
        <v>0</v>
      </c>
      <c r="BD69" s="36"/>
      <c r="BE69" s="37"/>
      <c r="BF69" s="30">
        <f>SUMPRODUCT(LARGE((Input!$D$11:$D$985=18)*Input!$U$11:$U$985,2))</f>
        <v>0</v>
      </c>
      <c r="BG69" s="36"/>
      <c r="BH69" s="37"/>
      <c r="BI69" s="30">
        <f>SUMPRODUCT(LARGE((Input!$D$11:$D$985=19)*Input!$U$11:$U$985,2))</f>
        <v>0</v>
      </c>
      <c r="BJ69" s="36"/>
      <c r="BK69" s="37"/>
      <c r="BL69" s="30">
        <f>SUMPRODUCT(LARGE((Input!$D$11:$D$985=20)*Input!$U$11:$U$985,2))</f>
        <v>0</v>
      </c>
      <c r="BM69" s="36"/>
      <c r="BN69" s="39"/>
    </row>
    <row r="70" spans="3:66" ht="13.5" hidden="1" thickBot="1" x14ac:dyDescent="0.3">
      <c r="C70" s="11"/>
      <c r="D70" s="30">
        <f>SUMPRODUCT(LARGE((Input!$D$11:$D$985=1)*Input!$U$11:$U$985,3))</f>
        <v>0</v>
      </c>
      <c r="E70" s="35"/>
      <c r="F70" s="37"/>
      <c r="G70" s="32">
        <f>SUMPRODUCT(LARGE((Input!D$11:D$985=2)*Input!U$11:U$985,3))</f>
        <v>0</v>
      </c>
      <c r="H70" s="36"/>
      <c r="I70" s="37"/>
      <c r="J70" s="32">
        <f>SUMPRODUCT(LARGE((Input!D$11:D$985=3)*Input!U$11:U$985,3))</f>
        <v>0</v>
      </c>
      <c r="K70" s="36"/>
      <c r="L70" s="38"/>
      <c r="M70" s="34">
        <f>SUMPRODUCT(LARGE((Input!D$11:D$985=4)*Input!U$11:U$985,3))</f>
        <v>0</v>
      </c>
      <c r="N70" s="36"/>
      <c r="O70" s="37"/>
      <c r="P70" s="32">
        <f>SUMPRODUCT(LARGE((Input!D$11:D$985=5)*Input!U$11:U$985,3))</f>
        <v>0</v>
      </c>
      <c r="Q70" s="36"/>
      <c r="R70" s="37"/>
      <c r="S70" s="32">
        <f>SUMPRODUCT(LARGE((Input!D$11:D$985=6)*Input!U$11:U$985,3))</f>
        <v>0</v>
      </c>
      <c r="T70" s="36"/>
      <c r="U70" s="37"/>
      <c r="V70" s="32">
        <f>SUMPRODUCT(LARGE((Input!D$11:D$985=7)*Input!U$11:U$985,3))</f>
        <v>0</v>
      </c>
      <c r="W70" s="36"/>
      <c r="X70" s="37"/>
      <c r="Y70" s="32">
        <f>SUMPRODUCT(LARGE((Input!D$11:D$985=8)*Input!U$11:U$985,3))</f>
        <v>0</v>
      </c>
      <c r="Z70" s="36"/>
      <c r="AA70" s="37"/>
      <c r="AB70" s="32">
        <f>SUMPRODUCT(LARGE((Input!D$11:D$985=9)*Input!U$11:U$985,3))</f>
        <v>0</v>
      </c>
      <c r="AC70" s="36"/>
      <c r="AD70" s="37"/>
      <c r="AE70" s="32">
        <f>SUMPRODUCT(LARGE((Input!D$11:D$985=10)*Input!U$11:U$985,3))</f>
        <v>0</v>
      </c>
      <c r="AF70" s="36"/>
      <c r="AG70" s="314"/>
      <c r="AH70" s="30">
        <f>SUMPRODUCT(LARGE((Input!$D$11:$D$985=11)*Input!$U$11:$U$985,3))</f>
        <v>0</v>
      </c>
      <c r="AI70" s="64"/>
      <c r="AJ70" s="64"/>
      <c r="AK70" s="11"/>
      <c r="AL70" s="36"/>
      <c r="AM70" s="37"/>
      <c r="AN70" s="30">
        <f>SUMPRODUCT(LARGE((Input!$D$11:$D$985=12)*Input!$U$11:$U$985,3))</f>
        <v>0</v>
      </c>
      <c r="AO70" s="36"/>
      <c r="AP70" s="37"/>
      <c r="AQ70" s="30">
        <f>SUMPRODUCT(LARGE((Input!$D$11:$D$985=13)*Input!$U$11:$U$985,3))</f>
        <v>0</v>
      </c>
      <c r="AR70" s="36"/>
      <c r="AS70" s="37"/>
      <c r="AT70" s="30">
        <f>SUMPRODUCT(LARGE((Input!$D$11:$D$985=14)*Input!$U$11:$U$985,3))</f>
        <v>0</v>
      </c>
      <c r="AU70" s="36"/>
      <c r="AV70" s="37"/>
      <c r="AW70" s="30">
        <f>SUMPRODUCT(LARGE((Input!$D$11:$D$985=15)*Input!$U$11:$U$985,3))</f>
        <v>0</v>
      </c>
      <c r="AX70" s="36"/>
      <c r="AY70" s="37"/>
      <c r="AZ70" s="30">
        <f>SUMPRODUCT(LARGE((Input!$D$11:$D$985=16)*Input!$U$11:$U$985,3))</f>
        <v>0</v>
      </c>
      <c r="BA70" s="36"/>
      <c r="BB70" s="37"/>
      <c r="BC70" s="30">
        <f>SUMPRODUCT(LARGE((Input!$D$11:$D$985=17)*Input!$U$11:$U$985,3))</f>
        <v>0</v>
      </c>
      <c r="BD70" s="36"/>
      <c r="BE70" s="37"/>
      <c r="BF70" s="30">
        <f>SUMPRODUCT(LARGE((Input!$D$11:$D$985=18)*Input!$U$11:$U$985,3))</f>
        <v>0</v>
      </c>
      <c r="BG70" s="36"/>
      <c r="BH70" s="37"/>
      <c r="BI70" s="30">
        <f>SUMPRODUCT(LARGE((Input!$D$11:$D$985=19)*Input!$U$11:$U$985,3))</f>
        <v>0</v>
      </c>
      <c r="BJ70" s="36"/>
      <c r="BK70" s="37"/>
      <c r="BL70" s="30">
        <f>SUMPRODUCT(LARGE((Input!$D$11:$D$985=20)*Input!$U$11:$U$985,3))</f>
        <v>0</v>
      </c>
      <c r="BM70" s="36"/>
      <c r="BN70" s="39"/>
    </row>
    <row r="71" spans="3:66" ht="13.5" hidden="1" thickBot="1" x14ac:dyDescent="0.3">
      <c r="C71" s="11"/>
      <c r="D71" s="30">
        <f>SUMPRODUCT(LARGE((Input!$D$11:$D$985=1)*Input!$U$11:$U$985,4))</f>
        <v>0</v>
      </c>
      <c r="E71" s="35"/>
      <c r="F71" s="37"/>
      <c r="G71" s="32">
        <f>SUMPRODUCT(LARGE((Input!D$11:D$985=2)*Input!U$11:U$985,4))</f>
        <v>0</v>
      </c>
      <c r="H71" s="36"/>
      <c r="I71" s="37"/>
      <c r="J71" s="32">
        <f>SUMPRODUCT(LARGE((Input!D$11:D$985=3)*Input!U$11:U$985,4))</f>
        <v>0</v>
      </c>
      <c r="K71" s="36"/>
      <c r="L71" s="38"/>
      <c r="M71" s="34">
        <f>SUMPRODUCT(LARGE((Input!D$11:D$985=4)*Input!U$11:U$985,4))</f>
        <v>0</v>
      </c>
      <c r="N71" s="36"/>
      <c r="O71" s="37"/>
      <c r="P71" s="32">
        <f>SUMPRODUCT(LARGE((Input!D$11:D$985=5)*Input!U$11:U$985,4))</f>
        <v>0</v>
      </c>
      <c r="Q71" s="36"/>
      <c r="R71" s="37"/>
      <c r="S71" s="32">
        <f>SUMPRODUCT(LARGE((Input!D$11:D$985=6)*Input!U$11:U$985,4))</f>
        <v>0</v>
      </c>
      <c r="T71" s="36"/>
      <c r="U71" s="37"/>
      <c r="V71" s="32">
        <f>SUMPRODUCT(LARGE((Input!D$11:D$985=7)*Input!U$11:U$985,4))</f>
        <v>0</v>
      </c>
      <c r="W71" s="36"/>
      <c r="X71" s="37"/>
      <c r="Y71" s="32">
        <f>SUMPRODUCT(LARGE((Input!D$11:D$985=8)*Input!U$11:U$985,4))</f>
        <v>0</v>
      </c>
      <c r="Z71" s="36"/>
      <c r="AA71" s="37"/>
      <c r="AB71" s="32">
        <f>SUMPRODUCT(LARGE((Input!D$11:D$985=9)*Input!U$11:U$985,4))</f>
        <v>0</v>
      </c>
      <c r="AC71" s="36"/>
      <c r="AD71" s="37"/>
      <c r="AE71" s="32">
        <f>SUMPRODUCT(LARGE((Input!D$11:D$985=10)*Input!U$11:U$985,4))</f>
        <v>0</v>
      </c>
      <c r="AF71" s="36"/>
      <c r="AG71" s="314"/>
      <c r="AH71" s="30">
        <f>SUMPRODUCT(LARGE((Input!$D$11:$D$985=11)*Input!$U$11:$U$985,4))</f>
        <v>0</v>
      </c>
      <c r="AI71" s="64"/>
      <c r="AJ71" s="64"/>
      <c r="AK71" s="11"/>
      <c r="AL71" s="36"/>
      <c r="AM71" s="37"/>
      <c r="AN71" s="30">
        <f>SUMPRODUCT(LARGE((Input!$D$11:$D$985=12)*Input!$U$11:$U$985,4))</f>
        <v>0</v>
      </c>
      <c r="AO71" s="36"/>
      <c r="AP71" s="37"/>
      <c r="AQ71" s="30">
        <f>SUMPRODUCT(LARGE((Input!$D$11:$D$985=13)*Input!$U$11:$U$985,4))</f>
        <v>0</v>
      </c>
      <c r="AR71" s="36"/>
      <c r="AS71" s="37"/>
      <c r="AT71" s="30">
        <f>SUMPRODUCT(LARGE((Input!$D$11:$D$985=14)*Input!$U$11:$U$985,4))</f>
        <v>0</v>
      </c>
      <c r="AU71" s="36"/>
      <c r="AV71" s="37"/>
      <c r="AW71" s="30">
        <f>SUMPRODUCT(LARGE((Input!$D$11:$D$985=15)*Input!$U$11:$U$985,4))</f>
        <v>0</v>
      </c>
      <c r="AX71" s="36"/>
      <c r="AY71" s="37"/>
      <c r="AZ71" s="30">
        <f>SUMPRODUCT(LARGE((Input!$D$11:$D$985=16)*Input!$U$11:$U$985,4))</f>
        <v>0</v>
      </c>
      <c r="BA71" s="36"/>
      <c r="BB71" s="37"/>
      <c r="BC71" s="30">
        <f>SUMPRODUCT(LARGE((Input!$D$11:$D$985=17)*Input!$U$11:$U$985,4))</f>
        <v>0</v>
      </c>
      <c r="BD71" s="36"/>
      <c r="BE71" s="37"/>
      <c r="BF71" s="30">
        <f>SUMPRODUCT(LARGE((Input!$D$11:$D$985=18)*Input!$U$11:$U$985,4))</f>
        <v>0</v>
      </c>
      <c r="BG71" s="36"/>
      <c r="BH71" s="37"/>
      <c r="BI71" s="30">
        <f>SUMPRODUCT(LARGE((Input!$D$11:$D$985=19)*Input!$U$11:$U$985,4))</f>
        <v>0</v>
      </c>
      <c r="BJ71" s="36"/>
      <c r="BK71" s="37"/>
      <c r="BL71" s="30">
        <f>SUMPRODUCT(LARGE((Input!$D$11:$D$985=20)*Input!$U$11:$U$985,4))</f>
        <v>0</v>
      </c>
      <c r="BM71" s="36"/>
      <c r="BN71" s="39"/>
    </row>
    <row r="72" spans="3:66" ht="13.5" hidden="1" thickBot="1" x14ac:dyDescent="0.3">
      <c r="C72" s="11"/>
      <c r="D72" s="30">
        <f>SUMPRODUCT(LARGE((Input!$D$11:$D$985=1)*Input!$U$11:$U$985,5))</f>
        <v>0</v>
      </c>
      <c r="E72" s="35"/>
      <c r="F72" s="37"/>
      <c r="G72" s="32">
        <f>SUMPRODUCT(LARGE((Input!D$11:D$985=2)*Input!U$11:U$985,5))</f>
        <v>0</v>
      </c>
      <c r="H72" s="36"/>
      <c r="I72" s="37"/>
      <c r="J72" s="32">
        <f>SUMPRODUCT(LARGE((Input!D$11:D$985=3)*Input!U$11:U$985,5))</f>
        <v>0</v>
      </c>
      <c r="K72" s="36"/>
      <c r="L72" s="38"/>
      <c r="M72" s="34">
        <f>SUMPRODUCT(LARGE((Input!D$11:D$985=4)*Input!U$11:U$985,5))</f>
        <v>0</v>
      </c>
      <c r="N72" s="36"/>
      <c r="O72" s="37"/>
      <c r="P72" s="32">
        <f>SUMPRODUCT(LARGE((Input!D$11:D$985=5)*Input!U$11:U$985,5))</f>
        <v>0</v>
      </c>
      <c r="Q72" s="36"/>
      <c r="R72" s="37"/>
      <c r="S72" s="32">
        <f>SUMPRODUCT(LARGE((Input!D$11:D$985=6)*Input!U$11:U$985,5))</f>
        <v>0</v>
      </c>
      <c r="T72" s="36"/>
      <c r="U72" s="37"/>
      <c r="V72" s="32">
        <f>SUMPRODUCT(LARGE((Input!D$11:D$985=7)*Input!U$11:U$985,5))</f>
        <v>0</v>
      </c>
      <c r="W72" s="36"/>
      <c r="X72" s="37"/>
      <c r="Y72" s="32">
        <f>SUMPRODUCT(LARGE((Input!D$11:D$985=8)*Input!U$11:U$985,5))</f>
        <v>0</v>
      </c>
      <c r="Z72" s="36"/>
      <c r="AA72" s="37"/>
      <c r="AB72" s="32">
        <f>SUMPRODUCT(LARGE((Input!D$11:D$985=9)*Input!U$11:U$985,5))</f>
        <v>0</v>
      </c>
      <c r="AC72" s="36"/>
      <c r="AD72" s="37"/>
      <c r="AE72" s="32">
        <f>SUMPRODUCT(LARGE((Input!D$11:D$985=10)*Input!U$11:U$985,5))</f>
        <v>0</v>
      </c>
      <c r="AF72" s="36"/>
      <c r="AG72" s="314"/>
      <c r="AH72" s="30">
        <f>SUMPRODUCT(LARGE((Input!$D$11:$D$985=11)*Input!$U$11:$U$985,5))</f>
        <v>0</v>
      </c>
      <c r="AI72" s="64"/>
      <c r="AJ72" s="64"/>
      <c r="AK72" s="11"/>
      <c r="AL72" s="36"/>
      <c r="AM72" s="37"/>
      <c r="AN72" s="30">
        <f>SUMPRODUCT(LARGE((Input!$D$11:$D$985=12)*Input!$U$11:$U$985,5))</f>
        <v>0</v>
      </c>
      <c r="AO72" s="36"/>
      <c r="AP72" s="37"/>
      <c r="AQ72" s="30">
        <f>SUMPRODUCT(LARGE((Input!$D$11:$D$985=13)*Input!$U$11:$U$985,5))</f>
        <v>0</v>
      </c>
      <c r="AR72" s="36"/>
      <c r="AS72" s="37"/>
      <c r="AT72" s="30">
        <f>SUMPRODUCT(LARGE((Input!$D$11:$D$985=14)*Input!$U$11:$U$985,5))</f>
        <v>0</v>
      </c>
      <c r="AU72" s="36"/>
      <c r="AV72" s="37"/>
      <c r="AW72" s="30">
        <f>SUMPRODUCT(LARGE((Input!$D$11:$D$985=15)*Input!$U$11:$U$985,5))</f>
        <v>0</v>
      </c>
      <c r="AX72" s="36"/>
      <c r="AY72" s="37"/>
      <c r="AZ72" s="30">
        <f>SUMPRODUCT(LARGE((Input!$D$11:$D$985=16)*Input!$U$11:$U$985,5))</f>
        <v>0</v>
      </c>
      <c r="BA72" s="36"/>
      <c r="BB72" s="37"/>
      <c r="BC72" s="30">
        <f>SUMPRODUCT(LARGE((Input!$D$11:$D$985=17)*Input!$U$11:$U$985,5))</f>
        <v>0</v>
      </c>
      <c r="BD72" s="36"/>
      <c r="BE72" s="37"/>
      <c r="BF72" s="30">
        <f>SUMPRODUCT(LARGE((Input!$D$11:$D$985=18)*Input!$U$11:$U$985,5))</f>
        <v>0</v>
      </c>
      <c r="BG72" s="36"/>
      <c r="BH72" s="37"/>
      <c r="BI72" s="30">
        <f>SUMPRODUCT(LARGE((Input!$D$11:$D$985=19)*Input!$U$11:$U$985,5))</f>
        <v>0</v>
      </c>
      <c r="BJ72" s="36"/>
      <c r="BK72" s="37"/>
      <c r="BL72" s="30">
        <f>SUMPRODUCT(LARGE((Input!$D$11:$D$985=20)*Input!$U$11:$U$985,5))</f>
        <v>0</v>
      </c>
      <c r="BM72" s="36"/>
      <c r="BN72" s="39"/>
    </row>
    <row r="73" spans="3:66" ht="13.5" hidden="1" thickBot="1" x14ac:dyDescent="0.3">
      <c r="C73" s="11"/>
      <c r="D73" s="30">
        <f>SUMPRODUCT(LARGE((Input!$D$11:$D$985=1)*Input!$U$11:$U$985,6))</f>
        <v>0</v>
      </c>
      <c r="E73" s="35"/>
      <c r="F73" s="37"/>
      <c r="G73" s="32">
        <f>SUMPRODUCT(LARGE((Input!D$11:D$985=2)*Input!U$11:U$985,6))</f>
        <v>0</v>
      </c>
      <c r="H73" s="36"/>
      <c r="I73" s="37"/>
      <c r="J73" s="32">
        <f>SUMPRODUCT(LARGE((Input!D$11:D$985=3)*Input!U$11:U$985,6))</f>
        <v>0</v>
      </c>
      <c r="K73" s="36"/>
      <c r="L73" s="38"/>
      <c r="M73" s="34">
        <f>SUMPRODUCT(LARGE((Input!D$11:D$985=4)*Input!U$11:U$985,6))</f>
        <v>0</v>
      </c>
      <c r="N73" s="36"/>
      <c r="O73" s="37"/>
      <c r="P73" s="32">
        <f>SUMPRODUCT(LARGE((Input!D$11:D$985=5)*Input!U$11:U$985,6))</f>
        <v>0</v>
      </c>
      <c r="Q73" s="36"/>
      <c r="R73" s="37"/>
      <c r="S73" s="32">
        <f>SUMPRODUCT(LARGE((Input!D$11:D$985=6)*Input!U$11:U$985,6))</f>
        <v>0</v>
      </c>
      <c r="T73" s="36"/>
      <c r="U73" s="37"/>
      <c r="V73" s="32">
        <f>SUMPRODUCT(LARGE((Input!D$11:D$985=7)*Input!U$11:U$985,6))</f>
        <v>0</v>
      </c>
      <c r="W73" s="36"/>
      <c r="X73" s="37"/>
      <c r="Y73" s="32">
        <f>SUMPRODUCT(LARGE((Input!D$11:D$985=8)*Input!U$11:U$985,6))</f>
        <v>0</v>
      </c>
      <c r="Z73" s="36"/>
      <c r="AA73" s="37"/>
      <c r="AB73" s="32">
        <f>SUMPRODUCT(LARGE((Input!D$11:D$985=9)*Input!U$11:U$985,6))</f>
        <v>0</v>
      </c>
      <c r="AC73" s="36"/>
      <c r="AD73" s="37"/>
      <c r="AE73" s="32">
        <f>SUMPRODUCT(LARGE((Input!D$11:D$985=10)*Input!U$11:U$985,6))</f>
        <v>0</v>
      </c>
      <c r="AF73" s="36"/>
      <c r="AG73" s="314"/>
      <c r="AH73" s="30">
        <f>SUMPRODUCT(LARGE((Input!$D$11:$D$985=11)*Input!$U$11:$U$985,6))</f>
        <v>0</v>
      </c>
      <c r="AI73" s="64"/>
      <c r="AJ73" s="64"/>
      <c r="AK73" s="11"/>
      <c r="AL73" s="36"/>
      <c r="AM73" s="37"/>
      <c r="AN73" s="30">
        <f>SUMPRODUCT(LARGE((Input!$D$11:$D$985=12)*Input!$U$11:$U$985,6))</f>
        <v>0</v>
      </c>
      <c r="AO73" s="36"/>
      <c r="AP73" s="37"/>
      <c r="AQ73" s="30">
        <f>SUMPRODUCT(LARGE((Input!$D$11:$D$985=13)*Input!$U$11:$U$985,6))</f>
        <v>0</v>
      </c>
      <c r="AR73" s="36"/>
      <c r="AS73" s="37"/>
      <c r="AT73" s="30">
        <f>SUMPRODUCT(LARGE((Input!$D$11:$D$985=14)*Input!$U$11:$U$985,6))</f>
        <v>0</v>
      </c>
      <c r="AU73" s="36"/>
      <c r="AV73" s="37"/>
      <c r="AW73" s="30">
        <f>SUMPRODUCT(LARGE((Input!$D$11:$D$985=15)*Input!$U$11:$U$985,6))</f>
        <v>0</v>
      </c>
      <c r="AX73" s="36"/>
      <c r="AY73" s="37"/>
      <c r="AZ73" s="30">
        <f>SUMPRODUCT(LARGE((Input!$D$11:$D$985=16)*Input!$U$11:$U$985,6))</f>
        <v>0</v>
      </c>
      <c r="BA73" s="36"/>
      <c r="BB73" s="37"/>
      <c r="BC73" s="30">
        <f>SUMPRODUCT(LARGE((Input!$D$11:$D$985=17)*Input!$U$11:$U$985,6))</f>
        <v>0</v>
      </c>
      <c r="BD73" s="36"/>
      <c r="BE73" s="37"/>
      <c r="BF73" s="30">
        <f>SUMPRODUCT(LARGE((Input!$D$11:$D$985=18)*Input!$U$11:$U$985,6))</f>
        <v>0</v>
      </c>
      <c r="BG73" s="36"/>
      <c r="BH73" s="37"/>
      <c r="BI73" s="30">
        <f>SUMPRODUCT(LARGE((Input!$D$11:$D$985=19)*Input!$U$11:$U$985,6))</f>
        <v>0</v>
      </c>
      <c r="BJ73" s="36"/>
      <c r="BK73" s="37"/>
      <c r="BL73" s="30">
        <f>SUMPRODUCT(LARGE((Input!$D$11:$D$985=20)*Input!$U$11:$U$985,6))</f>
        <v>0</v>
      </c>
      <c r="BM73" s="36"/>
      <c r="BN73" s="39"/>
    </row>
    <row r="74" spans="3:66" ht="13.5" hidden="1" thickBot="1" x14ac:dyDescent="0.3">
      <c r="C74" s="11"/>
      <c r="D74" s="30">
        <f>SUMPRODUCT(LARGE((Input!$D$11:$D$985=1)*Input!$U$11:$U$985,7))</f>
        <v>0</v>
      </c>
      <c r="E74" s="35"/>
      <c r="F74" s="37"/>
      <c r="G74" s="32">
        <f>SUMPRODUCT(LARGE((Input!D$11:D$985=2)*Input!U$11:U$985,7))</f>
        <v>0</v>
      </c>
      <c r="H74" s="36"/>
      <c r="I74" s="37"/>
      <c r="J74" s="32">
        <f>SUMPRODUCT(LARGE((Input!D$11:D$985=3)*Input!U$11:U$985,7))</f>
        <v>0</v>
      </c>
      <c r="K74" s="36"/>
      <c r="L74" s="38"/>
      <c r="M74" s="34">
        <f>SUMPRODUCT(LARGE((Input!D$11:D$985=4)*Input!U$11:U$985,7))</f>
        <v>0</v>
      </c>
      <c r="N74" s="36"/>
      <c r="O74" s="37"/>
      <c r="P74" s="32">
        <f>SUMPRODUCT(LARGE((Input!D$11:D$985=5)*Input!U$11:U$985,7))</f>
        <v>0</v>
      </c>
      <c r="Q74" s="36"/>
      <c r="R74" s="37"/>
      <c r="S74" s="32">
        <f>SUMPRODUCT(LARGE((Input!D$11:D$985=6)*Input!U$11:U$985,7))</f>
        <v>0</v>
      </c>
      <c r="T74" s="36"/>
      <c r="U74" s="37"/>
      <c r="V74" s="32">
        <f>SUMPRODUCT(LARGE((Input!D$11:D$985=7)*Input!U$11:U$985,7))</f>
        <v>0</v>
      </c>
      <c r="W74" s="36"/>
      <c r="X74" s="37"/>
      <c r="Y74" s="32">
        <f>SUMPRODUCT(LARGE((Input!D$11:D$985=8)*Input!U$11:U$985,7))</f>
        <v>0</v>
      </c>
      <c r="Z74" s="36"/>
      <c r="AA74" s="37"/>
      <c r="AB74" s="32">
        <f>SUMPRODUCT(LARGE((Input!D$11:D$985=9)*Input!U$11:U$985,7))</f>
        <v>0</v>
      </c>
      <c r="AC74" s="36"/>
      <c r="AD74" s="37"/>
      <c r="AE74" s="32">
        <f>SUMPRODUCT(LARGE((Input!D$11:D$985=10)*Input!U$11:U$985,7))</f>
        <v>0</v>
      </c>
      <c r="AF74" s="36"/>
      <c r="AG74" s="314"/>
      <c r="AH74" s="30">
        <f>SUMPRODUCT(LARGE((Input!$D$11:$D$985=11)*Input!$U$11:$U$985,7))</f>
        <v>0</v>
      </c>
      <c r="AI74" s="64"/>
      <c r="AJ74" s="64"/>
      <c r="AK74" s="11"/>
      <c r="AL74" s="36"/>
      <c r="AM74" s="37"/>
      <c r="AN74" s="30">
        <f>SUMPRODUCT(LARGE((Input!$D$11:$D$985=12)*Input!$U$11:$U$985,7))</f>
        <v>0</v>
      </c>
      <c r="AO74" s="36"/>
      <c r="AP74" s="37"/>
      <c r="AQ74" s="30">
        <f>SUMPRODUCT(LARGE((Input!$D$11:$D$985=13)*Input!$U$11:$U$985,7))</f>
        <v>0</v>
      </c>
      <c r="AR74" s="36"/>
      <c r="AS74" s="37"/>
      <c r="AT74" s="30">
        <f>SUMPRODUCT(LARGE((Input!$D$11:$D$985=14)*Input!$U$11:$U$985,7))</f>
        <v>0</v>
      </c>
      <c r="AU74" s="36"/>
      <c r="AV74" s="37"/>
      <c r="AW74" s="30">
        <f>SUMPRODUCT(LARGE((Input!$D$11:$D$985=15)*Input!$U$11:$U$985,7))</f>
        <v>0</v>
      </c>
      <c r="AX74" s="36"/>
      <c r="AY74" s="37"/>
      <c r="AZ74" s="30">
        <f>SUMPRODUCT(LARGE((Input!$D$11:$D$985=16)*Input!$U$11:$U$985,7))</f>
        <v>0</v>
      </c>
      <c r="BA74" s="36"/>
      <c r="BB74" s="37"/>
      <c r="BC74" s="30">
        <f>SUMPRODUCT(LARGE((Input!$D$11:$D$985=17)*Input!$U$11:$U$985,7))</f>
        <v>0</v>
      </c>
      <c r="BD74" s="36"/>
      <c r="BE74" s="37"/>
      <c r="BF74" s="30">
        <f>SUMPRODUCT(LARGE((Input!$D$11:$D$985=18)*Input!$U$11:$U$985,7))</f>
        <v>0</v>
      </c>
      <c r="BG74" s="36"/>
      <c r="BH74" s="37"/>
      <c r="BI74" s="30">
        <f>SUMPRODUCT(LARGE((Input!$D$11:$D$985=19)*Input!$U$11:$U$985,7))</f>
        <v>0</v>
      </c>
      <c r="BJ74" s="36"/>
      <c r="BK74" s="37"/>
      <c r="BL74" s="30">
        <f>SUMPRODUCT(LARGE((Input!$D$11:$D$985=20)*Input!$U$11:$U$985,7))</f>
        <v>0</v>
      </c>
      <c r="BM74" s="36"/>
      <c r="BN74" s="39"/>
    </row>
    <row r="75" spans="3:66" ht="13.5" hidden="1" thickBot="1" x14ac:dyDescent="0.3">
      <c r="C75" s="11"/>
      <c r="D75" s="30">
        <f>SUMPRODUCT(LARGE((Input!$D$11:$D$985=1)*Input!$U$11:$U$985,8))</f>
        <v>0</v>
      </c>
      <c r="E75" s="35"/>
      <c r="F75" s="37"/>
      <c r="G75" s="32">
        <f>SUMPRODUCT(LARGE((Input!D$11:D$985=2)*Input!U$11:U$985,8))</f>
        <v>0</v>
      </c>
      <c r="H75" s="36"/>
      <c r="I75" s="37"/>
      <c r="J75" s="32">
        <f>SUMPRODUCT(LARGE((Input!D$11:D$985=3)*Input!U$11:U$985,8))</f>
        <v>0</v>
      </c>
      <c r="K75" s="36"/>
      <c r="L75" s="38"/>
      <c r="M75" s="34">
        <f>SUMPRODUCT(LARGE((Input!D$11:D$985=4)*Input!U$11:U$985,8))</f>
        <v>0</v>
      </c>
      <c r="N75" s="36"/>
      <c r="O75" s="37"/>
      <c r="P75" s="32">
        <f>SUMPRODUCT(LARGE((Input!D$11:D$985=5)*Input!U$11:U$985,8))</f>
        <v>0</v>
      </c>
      <c r="Q75" s="36"/>
      <c r="R75" s="37"/>
      <c r="S75" s="32">
        <f>SUMPRODUCT(LARGE((Input!D$11:D$985=6)*Input!U$11:U$985,8))</f>
        <v>0</v>
      </c>
      <c r="T75" s="36"/>
      <c r="U75" s="37"/>
      <c r="V75" s="32">
        <f>SUMPRODUCT(LARGE((Input!D$11:D$985=7)*Input!U$11:U$985,8))</f>
        <v>0</v>
      </c>
      <c r="W75" s="36"/>
      <c r="X75" s="37"/>
      <c r="Y75" s="32">
        <f>SUMPRODUCT(LARGE((Input!D$11:D$985=8)*Input!U$11:U$985,8))</f>
        <v>0</v>
      </c>
      <c r="Z75" s="36"/>
      <c r="AA75" s="37"/>
      <c r="AB75" s="32">
        <f>SUMPRODUCT(LARGE((Input!D$11:D$985=9)*Input!U$11:U$985,8))</f>
        <v>0</v>
      </c>
      <c r="AC75" s="36"/>
      <c r="AD75" s="37"/>
      <c r="AE75" s="32">
        <f>SUMPRODUCT(LARGE((Input!D$11:D$985=10)*Input!U$11:U$985,8))</f>
        <v>0</v>
      </c>
      <c r="AF75" s="36"/>
      <c r="AG75" s="314"/>
      <c r="AH75" s="30">
        <f>SUMPRODUCT(LARGE((Input!$D$11:$D$985=11)*Input!$U$11:$U$985,8))</f>
        <v>0</v>
      </c>
      <c r="AI75" s="64"/>
      <c r="AJ75" s="64"/>
      <c r="AK75" s="11"/>
      <c r="AL75" s="36"/>
      <c r="AM75" s="37"/>
      <c r="AN75" s="30">
        <f>SUMPRODUCT(LARGE((Input!$D$11:$D$985=12)*Input!$U$11:$U$985,8))</f>
        <v>0</v>
      </c>
      <c r="AO75" s="36"/>
      <c r="AP75" s="37"/>
      <c r="AQ75" s="30">
        <f>SUMPRODUCT(LARGE((Input!$D$11:$D$985=13)*Input!$U$11:$U$985,8))</f>
        <v>0</v>
      </c>
      <c r="AR75" s="36"/>
      <c r="AS75" s="37"/>
      <c r="AT75" s="30">
        <f>SUMPRODUCT(LARGE((Input!$D$11:$D$985=14)*Input!$U$11:$U$985,8))</f>
        <v>0</v>
      </c>
      <c r="AU75" s="36"/>
      <c r="AV75" s="37"/>
      <c r="AW75" s="30">
        <f>SUMPRODUCT(LARGE((Input!$D$11:$D$985=15)*Input!$U$11:$U$985,8))</f>
        <v>0</v>
      </c>
      <c r="AX75" s="36"/>
      <c r="AY75" s="37"/>
      <c r="AZ75" s="30">
        <f>SUMPRODUCT(LARGE((Input!$D$11:$D$985=16)*Input!$U$11:$U$985,8))</f>
        <v>0</v>
      </c>
      <c r="BA75" s="36"/>
      <c r="BB75" s="37"/>
      <c r="BC75" s="30">
        <f>SUMPRODUCT(LARGE((Input!$D$11:$D$985=17)*Input!$U$11:$U$985,8))</f>
        <v>0</v>
      </c>
      <c r="BD75" s="36"/>
      <c r="BE75" s="37"/>
      <c r="BF75" s="30">
        <f>SUMPRODUCT(LARGE((Input!$D$11:$D$985=18)*Input!$U$11:$U$985,8))</f>
        <v>0</v>
      </c>
      <c r="BG75" s="36"/>
      <c r="BH75" s="37"/>
      <c r="BI75" s="30">
        <f>SUMPRODUCT(LARGE((Input!$D$11:$D$985=19)*Input!$U$11:$U$985,8))</f>
        <v>0</v>
      </c>
      <c r="BJ75" s="36"/>
      <c r="BK75" s="37"/>
      <c r="BL75" s="30">
        <f>SUMPRODUCT(LARGE((Input!$D$11:$D$985=20)*Input!$U$11:$U$985,8))</f>
        <v>0</v>
      </c>
      <c r="BM75" s="36"/>
      <c r="BN75" s="39"/>
    </row>
    <row r="76" spans="3:66" ht="13.5" hidden="1" thickBot="1" x14ac:dyDescent="0.3">
      <c r="C76" s="11"/>
      <c r="D76" s="30">
        <f>SUMPRODUCT(LARGE((Input!$D$11:$D$985=1)*Input!$U$11:$U$985,9))</f>
        <v>0</v>
      </c>
      <c r="E76" s="35"/>
      <c r="F76" s="37"/>
      <c r="G76" s="32">
        <f>SUMPRODUCT(LARGE((Input!D$11:D$985=2)*Input!U$11:U$985,9))</f>
        <v>0</v>
      </c>
      <c r="H76" s="36"/>
      <c r="I76" s="37"/>
      <c r="J76" s="32">
        <f>SUMPRODUCT(LARGE((Input!D$11:D$985=3)*Input!U$11:U$985,9))</f>
        <v>0</v>
      </c>
      <c r="K76" s="36"/>
      <c r="L76" s="38"/>
      <c r="M76" s="34">
        <f>SUMPRODUCT(LARGE((Input!D$11:D$985=4)*Input!U$11:U$985,9))</f>
        <v>0</v>
      </c>
      <c r="N76" s="36"/>
      <c r="O76" s="37"/>
      <c r="P76" s="32">
        <f>SUMPRODUCT(LARGE((Input!D$11:D$985=5)*Input!U$11:U$985,9))</f>
        <v>0</v>
      </c>
      <c r="Q76" s="36"/>
      <c r="R76" s="37"/>
      <c r="S76" s="32">
        <f>SUMPRODUCT(LARGE((Input!D$11:D$985=6)*Input!U$11:U$985,9))</f>
        <v>0</v>
      </c>
      <c r="T76" s="36"/>
      <c r="U76" s="37"/>
      <c r="V76" s="32">
        <f>SUMPRODUCT(LARGE((Input!D$11:D$985=7)*Input!U$11:U$985,9))</f>
        <v>0</v>
      </c>
      <c r="W76" s="36"/>
      <c r="X76" s="37"/>
      <c r="Y76" s="32">
        <f>SUMPRODUCT(LARGE((Input!D$11:D$985=8)*Input!U$11:U$985,9))</f>
        <v>0</v>
      </c>
      <c r="Z76" s="36"/>
      <c r="AA76" s="37"/>
      <c r="AB76" s="32">
        <f>SUMPRODUCT(LARGE((Input!D$11:D$985=9)*Input!U$11:U$985,9))</f>
        <v>0</v>
      </c>
      <c r="AC76" s="36"/>
      <c r="AD76" s="37"/>
      <c r="AE76" s="32">
        <f>SUMPRODUCT(LARGE((Input!D$11:D$985=10)*Input!U$11:U$985,9))</f>
        <v>0</v>
      </c>
      <c r="AF76" s="36"/>
      <c r="AG76" s="314"/>
      <c r="AH76" s="30">
        <f>SUMPRODUCT(LARGE((Input!$D$11:$D$985=11)*Input!$U$11:$U$985,9))</f>
        <v>0</v>
      </c>
      <c r="AI76" s="64"/>
      <c r="AJ76" s="64"/>
      <c r="AK76" s="11"/>
      <c r="AL76" s="36"/>
      <c r="AM76" s="37"/>
      <c r="AN76" s="30">
        <f>SUMPRODUCT(LARGE((Input!$D$11:$D$985=12)*Input!$U$11:$U$985,9))</f>
        <v>0</v>
      </c>
      <c r="AO76" s="36"/>
      <c r="AP76" s="37"/>
      <c r="AQ76" s="30">
        <f>SUMPRODUCT(LARGE((Input!$D$11:$D$985=13)*Input!$U$11:$U$985,9))</f>
        <v>0</v>
      </c>
      <c r="AR76" s="36"/>
      <c r="AS76" s="37"/>
      <c r="AT76" s="30">
        <f>SUMPRODUCT(LARGE((Input!$D$11:$D$985=14)*Input!$U$11:$U$985,9))</f>
        <v>0</v>
      </c>
      <c r="AU76" s="36"/>
      <c r="AV76" s="37"/>
      <c r="AW76" s="30">
        <f>SUMPRODUCT(LARGE((Input!$D$11:$D$985=15)*Input!$U$11:$U$985,9))</f>
        <v>0</v>
      </c>
      <c r="AX76" s="36"/>
      <c r="AY76" s="37"/>
      <c r="AZ76" s="30">
        <f>SUMPRODUCT(LARGE((Input!$D$11:$D$985=16)*Input!$U$11:$U$985,9))</f>
        <v>0</v>
      </c>
      <c r="BA76" s="36"/>
      <c r="BB76" s="37"/>
      <c r="BC76" s="30">
        <f>SUMPRODUCT(LARGE((Input!$D$11:$D$985=17)*Input!$U$11:$U$985,9))</f>
        <v>0</v>
      </c>
      <c r="BD76" s="36"/>
      <c r="BE76" s="37"/>
      <c r="BF76" s="30">
        <f>SUMPRODUCT(LARGE((Input!$D$11:$D$985=18)*Input!$U$11:$U$985,9))</f>
        <v>0</v>
      </c>
      <c r="BG76" s="36"/>
      <c r="BH76" s="37"/>
      <c r="BI76" s="30">
        <f>SUMPRODUCT(LARGE((Input!$D$11:$D$985=19)*Input!$U$11:$U$985,9))</f>
        <v>0</v>
      </c>
      <c r="BJ76" s="36"/>
      <c r="BK76" s="37"/>
      <c r="BL76" s="30">
        <f>SUMPRODUCT(LARGE((Input!$D$11:$D$985=20)*Input!$U$11:$U$985,9))</f>
        <v>0</v>
      </c>
      <c r="BM76" s="36"/>
      <c r="BN76" s="39"/>
    </row>
    <row r="77" spans="3:66" ht="13.5" hidden="1" thickBot="1" x14ac:dyDescent="0.3">
      <c r="C77" s="11"/>
      <c r="D77" s="30">
        <f>SUMPRODUCT(LARGE((Input!$D$11:$D$985=1)*Input!$U$11:$U$985,10))</f>
        <v>0</v>
      </c>
      <c r="E77" s="40"/>
      <c r="F77" s="41"/>
      <c r="G77" s="32">
        <f>SUMPRODUCT(LARGE((Input!D$11:D$985=2)*Input!U$11:U$985,10))</f>
        <v>0</v>
      </c>
      <c r="H77" s="42"/>
      <c r="I77" s="41"/>
      <c r="J77" s="32">
        <f>SUMPRODUCT(LARGE((Input!D$11:D$985=3)*Input!U$11:U$985,10))</f>
        <v>0</v>
      </c>
      <c r="K77" s="42"/>
      <c r="L77" s="43"/>
      <c r="M77" s="34">
        <f>SUMPRODUCT(LARGE((Input!D$11:D$985=4)*Input!U$11:U$985,10))</f>
        <v>0</v>
      </c>
      <c r="N77" s="42"/>
      <c r="O77" s="41"/>
      <c r="P77" s="32">
        <f>SUMPRODUCT(LARGE((Input!D$11:D$985=5)*Input!U$11:U$985,10))</f>
        <v>0</v>
      </c>
      <c r="Q77" s="42"/>
      <c r="R77" s="41"/>
      <c r="S77" s="32">
        <f>SUMPRODUCT(LARGE((Input!D$11:D$985=6)*Input!U$11:U$985,10))</f>
        <v>0</v>
      </c>
      <c r="T77" s="42"/>
      <c r="U77" s="41"/>
      <c r="V77" s="32">
        <f>SUMPRODUCT(LARGE((Input!D$11:D$985=7)*Input!U$11:U$985,10))</f>
        <v>0</v>
      </c>
      <c r="W77" s="42"/>
      <c r="X77" s="41"/>
      <c r="Y77" s="32">
        <f>SUMPRODUCT(LARGE((Input!D$11:D$985=8)*Input!U$11:U$985,10))</f>
        <v>0</v>
      </c>
      <c r="Z77" s="42"/>
      <c r="AA77" s="41"/>
      <c r="AB77" s="32">
        <f>SUMPRODUCT(LARGE((Input!D$11:D$985=9)*Input!U$11:U$985,10))</f>
        <v>0</v>
      </c>
      <c r="AC77" s="42"/>
      <c r="AD77" s="41"/>
      <c r="AE77" s="32">
        <f>SUMPRODUCT(LARGE((Input!D$11:D$985=10)*Input!U$11:U$985,10))</f>
        <v>0</v>
      </c>
      <c r="AF77" s="42"/>
      <c r="AG77" s="44"/>
      <c r="AH77" s="30">
        <f>SUMPRODUCT(LARGE((Input!$D$11:$D$985=11)*Input!$U$11:$U$985,10))</f>
        <v>0</v>
      </c>
      <c r="AI77" s="64"/>
      <c r="AJ77" s="64"/>
      <c r="AK77" s="11"/>
      <c r="AL77" s="42"/>
      <c r="AM77" s="41"/>
      <c r="AN77" s="30">
        <f>SUMPRODUCT(LARGE((Input!$D$11:$D$985=12)*Input!$U$11:$U$985,10))</f>
        <v>0</v>
      </c>
      <c r="AO77" s="42"/>
      <c r="AP77" s="41"/>
      <c r="AQ77" s="30">
        <f>SUMPRODUCT(LARGE((Input!$D$11:$D$985=13)*Input!$U$11:$U$985,10))</f>
        <v>0</v>
      </c>
      <c r="AR77" s="42"/>
      <c r="AS77" s="41"/>
      <c r="AT77" s="30">
        <f>SUMPRODUCT(LARGE((Input!$D$11:$D$985=14)*Input!$U$11:$U$985,10))</f>
        <v>0</v>
      </c>
      <c r="AU77" s="42"/>
      <c r="AV77" s="41"/>
      <c r="AW77" s="30">
        <f>SUMPRODUCT(LARGE((Input!$D$11:$D$985=15)*Input!$U$11:$U$985,10))</f>
        <v>0</v>
      </c>
      <c r="AX77" s="42"/>
      <c r="AY77" s="41"/>
      <c r="AZ77" s="30">
        <f>SUMPRODUCT(LARGE((Input!$D$11:$D$985=16)*Input!$U$11:$U$985,10))</f>
        <v>0</v>
      </c>
      <c r="BA77" s="42"/>
      <c r="BB77" s="41"/>
      <c r="BC77" s="30">
        <f>SUMPRODUCT(LARGE((Input!$D$11:$D$985=17)*Input!$U$11:$U$985,10))</f>
        <v>0</v>
      </c>
      <c r="BD77" s="42"/>
      <c r="BE77" s="41"/>
      <c r="BF77" s="30">
        <f>SUMPRODUCT(LARGE((Input!$D$11:$D$985=18)*Input!$U$11:$U$985,10))</f>
        <v>0</v>
      </c>
      <c r="BG77" s="42"/>
      <c r="BH77" s="41"/>
      <c r="BI77" s="30">
        <f>SUMPRODUCT(LARGE((Input!$D$11:$D$985=19)*Input!$U$11:$U$985,10))</f>
        <v>0</v>
      </c>
      <c r="BJ77" s="42"/>
      <c r="BK77" s="41"/>
      <c r="BL77" s="30">
        <f>SUMPRODUCT(LARGE((Input!$D$11:$D$985=20)*Input!$U$11:$U$985,10))</f>
        <v>0</v>
      </c>
      <c r="BM77" s="42"/>
      <c r="BN77" s="44"/>
    </row>
    <row r="78" spans="3:66" ht="28.5" customHeight="1" thickBot="1" x14ac:dyDescent="0.3">
      <c r="C78" s="11" t="s">
        <v>6159</v>
      </c>
      <c r="D78" s="30" t="str">
        <f>IF(E80=0," ",SUM(D13:D77))</f>
        <v xml:space="preserve"> </v>
      </c>
      <c r="E78" s="654" t="str">
        <f>D78</f>
        <v xml:space="preserve"> </v>
      </c>
      <c r="F78" s="655"/>
      <c r="G78" s="342" t="str">
        <f t="shared" ref="G78:M78" si="0">IF(H80=0," ",SUM(G13:G77))</f>
        <v xml:space="preserve"> </v>
      </c>
      <c r="H78" s="654" t="str">
        <f>G78</f>
        <v xml:space="preserve"> </v>
      </c>
      <c r="I78" s="655"/>
      <c r="J78" s="342" t="str">
        <f t="shared" si="0"/>
        <v xml:space="preserve"> </v>
      </c>
      <c r="K78" s="654" t="str">
        <f>J78</f>
        <v xml:space="preserve"> </v>
      </c>
      <c r="L78" s="655"/>
      <c r="M78" s="342" t="str">
        <f t="shared" si="0"/>
        <v xml:space="preserve"> </v>
      </c>
      <c r="N78" s="654" t="str">
        <f>M78</f>
        <v xml:space="preserve"> </v>
      </c>
      <c r="O78" s="655"/>
      <c r="P78" s="342" t="str">
        <f>IF(Q80=0," ",SUM(P13:P77))</f>
        <v xml:space="preserve"> </v>
      </c>
      <c r="Q78" s="654" t="str">
        <f>P78</f>
        <v xml:space="preserve"> </v>
      </c>
      <c r="R78" s="655"/>
      <c r="S78" s="342" t="str">
        <f>IF(T80=0," ",SUM(S13:S77))</f>
        <v xml:space="preserve"> </v>
      </c>
      <c r="T78" s="654" t="str">
        <f>S78</f>
        <v xml:space="preserve"> </v>
      </c>
      <c r="U78" s="655"/>
      <c r="V78" s="342" t="str">
        <f>IF(W80=0," ",SUM(V13:V77))</f>
        <v xml:space="preserve"> </v>
      </c>
      <c r="W78" s="654" t="str">
        <f>V78</f>
        <v xml:space="preserve"> </v>
      </c>
      <c r="X78" s="655"/>
      <c r="Y78" s="342" t="str">
        <f>IF(Z80=0," ",SUM(Y13:Y77))</f>
        <v xml:space="preserve"> </v>
      </c>
      <c r="Z78" s="654" t="str">
        <f>Y78</f>
        <v xml:space="preserve"> </v>
      </c>
      <c r="AA78" s="655"/>
      <c r="AB78" s="342" t="str">
        <f>IF(AC80=0," ",SUM(AB13:AB77))</f>
        <v xml:space="preserve"> </v>
      </c>
      <c r="AC78" s="654" t="str">
        <f>AB78</f>
        <v xml:space="preserve"> </v>
      </c>
      <c r="AD78" s="655"/>
      <c r="AE78" s="342" t="str">
        <f>IF(AF80=0," ",SUM(AE13:AE77))</f>
        <v xml:space="preserve"> </v>
      </c>
      <c r="AF78" s="654" t="str">
        <f>AE78</f>
        <v xml:space="preserve"> </v>
      </c>
      <c r="AG78" s="656"/>
      <c r="AH78" s="353" t="str">
        <f>IF(AL80=0," ",SUM(AH13:AH77))</f>
        <v xml:space="preserve"> </v>
      </c>
      <c r="AI78" s="350"/>
      <c r="AJ78" s="350"/>
      <c r="AK78" s="11" t="s">
        <v>6159</v>
      </c>
      <c r="AL78" s="654" t="str">
        <f>AH78</f>
        <v xml:space="preserve"> </v>
      </c>
      <c r="AM78" s="655"/>
      <c r="AN78" s="342" t="str">
        <f>IF(AO80=0," ",SUM(AN13:AN77))</f>
        <v xml:space="preserve"> </v>
      </c>
      <c r="AO78" s="654" t="str">
        <f>AN78</f>
        <v xml:space="preserve"> </v>
      </c>
      <c r="AP78" s="655"/>
      <c r="AQ78" s="342" t="str">
        <f>IF(AR80=0," ",SUM(AQ13:AQ77))</f>
        <v xml:space="preserve"> </v>
      </c>
      <c r="AR78" s="654" t="str">
        <f>AQ78</f>
        <v xml:space="preserve"> </v>
      </c>
      <c r="AS78" s="655"/>
      <c r="AT78" s="342" t="str">
        <f>IF(AU80=0," ",SUM(AT13:AT77))</f>
        <v xml:space="preserve"> </v>
      </c>
      <c r="AU78" s="654" t="str">
        <f>AT78</f>
        <v xml:space="preserve"> </v>
      </c>
      <c r="AV78" s="655"/>
      <c r="AW78" s="342" t="str">
        <f>IF(AX80=0," ",SUM(AW13:AW77))</f>
        <v xml:space="preserve"> </v>
      </c>
      <c r="AX78" s="654" t="str">
        <f>AW78</f>
        <v xml:space="preserve"> </v>
      </c>
      <c r="AY78" s="655"/>
      <c r="AZ78" s="342" t="str">
        <f>IF(BA80=0," ",SUM(AZ13:AZ77))</f>
        <v xml:space="preserve"> </v>
      </c>
      <c r="BA78" s="654" t="str">
        <f>AZ78</f>
        <v xml:space="preserve"> </v>
      </c>
      <c r="BB78" s="655"/>
      <c r="BC78" s="342" t="str">
        <f>IF(BD80=0," ",SUM(BC13:BC77))</f>
        <v xml:space="preserve"> </v>
      </c>
      <c r="BD78" s="654" t="str">
        <f>BC78</f>
        <v xml:space="preserve"> </v>
      </c>
      <c r="BE78" s="655"/>
      <c r="BF78" s="342" t="str">
        <f>IF(BG80=0," ",SUM(BF13:BF77))</f>
        <v xml:space="preserve"> </v>
      </c>
      <c r="BG78" s="654" t="str">
        <f>BF78</f>
        <v xml:space="preserve"> </v>
      </c>
      <c r="BH78" s="655"/>
      <c r="BI78" s="342" t="str">
        <f>IF(BJ80=0," ",SUM(BI13:BI77))</f>
        <v xml:space="preserve"> </v>
      </c>
      <c r="BJ78" s="654" t="str">
        <f>BI78</f>
        <v xml:space="preserve"> </v>
      </c>
      <c r="BK78" s="655"/>
      <c r="BL78" s="342" t="str">
        <f>IF(BM80=0," ",SUM(BL13:BL77))</f>
        <v xml:space="preserve"> </v>
      </c>
      <c r="BM78" s="654" t="str">
        <f>BL78</f>
        <v xml:space="preserve"> </v>
      </c>
      <c r="BN78" s="656"/>
    </row>
    <row r="79" spans="3:66" ht="28.5" customHeight="1" thickBot="1" x14ac:dyDescent="0.3">
      <c r="C79" s="28" t="s">
        <v>80</v>
      </c>
      <c r="D79" s="65"/>
      <c r="E79" s="665" t="str">
        <f>Relays!M11</f>
        <v xml:space="preserve"> </v>
      </c>
      <c r="F79" s="666"/>
      <c r="G79" s="292"/>
      <c r="H79" s="658" t="str">
        <f>Relays!M12</f>
        <v xml:space="preserve"> </v>
      </c>
      <c r="I79" s="660"/>
      <c r="J79" s="292"/>
      <c r="K79" s="658" t="str">
        <f>Relays!M13</f>
        <v xml:space="preserve"> </v>
      </c>
      <c r="L79" s="660"/>
      <c r="M79" s="292"/>
      <c r="N79" s="658" t="str">
        <f>Relays!M14</f>
        <v xml:space="preserve"> </v>
      </c>
      <c r="O79" s="660"/>
      <c r="P79" s="292"/>
      <c r="Q79" s="658" t="str">
        <f>Relays!M15</f>
        <v xml:space="preserve"> </v>
      </c>
      <c r="R79" s="660"/>
      <c r="S79" s="292"/>
      <c r="T79" s="658" t="str">
        <f>Relays!M16</f>
        <v xml:space="preserve"> </v>
      </c>
      <c r="U79" s="660"/>
      <c r="V79" s="293"/>
      <c r="W79" s="658" t="str">
        <f>Relays!M17</f>
        <v xml:space="preserve"> </v>
      </c>
      <c r="X79" s="660"/>
      <c r="Y79" s="293"/>
      <c r="Z79" s="658" t="str">
        <f>Relays!M18</f>
        <v xml:space="preserve"> </v>
      </c>
      <c r="AA79" s="660"/>
      <c r="AB79" s="293"/>
      <c r="AC79" s="658" t="str">
        <f>Relays!M19</f>
        <v xml:space="preserve"> </v>
      </c>
      <c r="AD79" s="660"/>
      <c r="AE79" s="293"/>
      <c r="AF79" s="658" t="str">
        <f>Relays!M20</f>
        <v xml:space="preserve"> </v>
      </c>
      <c r="AG79" s="659"/>
      <c r="AH79" s="294"/>
      <c r="AI79" s="351"/>
      <c r="AJ79" s="351"/>
      <c r="AK79" s="28" t="s">
        <v>80</v>
      </c>
      <c r="AL79" s="658" t="str">
        <f>Relays!M21</f>
        <v xml:space="preserve"> </v>
      </c>
      <c r="AM79" s="660"/>
      <c r="AN79" s="294"/>
      <c r="AO79" s="658" t="str">
        <f>Relays!M22</f>
        <v xml:space="preserve"> </v>
      </c>
      <c r="AP79" s="660"/>
      <c r="AQ79" s="294"/>
      <c r="AR79" s="658" t="str">
        <f>Relays!M23</f>
        <v xml:space="preserve"> </v>
      </c>
      <c r="AS79" s="660"/>
      <c r="AT79" s="294"/>
      <c r="AU79" s="658" t="str">
        <f>Relays!M24</f>
        <v xml:space="preserve"> </v>
      </c>
      <c r="AV79" s="660"/>
      <c r="AW79" s="294"/>
      <c r="AX79" s="658" t="str">
        <f>Relays!M25</f>
        <v xml:space="preserve"> </v>
      </c>
      <c r="AY79" s="660"/>
      <c r="AZ79" s="294"/>
      <c r="BA79" s="658" t="str">
        <f>Relays!M26</f>
        <v xml:space="preserve"> </v>
      </c>
      <c r="BB79" s="660"/>
      <c r="BC79" s="294"/>
      <c r="BD79" s="658" t="str">
        <f>Relays!M27</f>
        <v xml:space="preserve"> </v>
      </c>
      <c r="BE79" s="660"/>
      <c r="BF79" s="294"/>
      <c r="BG79" s="658" t="str">
        <f>Relays!M28</f>
        <v xml:space="preserve"> </v>
      </c>
      <c r="BH79" s="660"/>
      <c r="BI79" s="294"/>
      <c r="BJ79" s="658" t="str">
        <f>Relays!M29</f>
        <v xml:space="preserve"> </v>
      </c>
      <c r="BK79" s="660"/>
      <c r="BL79" s="294"/>
      <c r="BM79" s="658" t="str">
        <f>Relays!M30</f>
        <v xml:space="preserve"> </v>
      </c>
      <c r="BN79" s="661"/>
    </row>
    <row r="80" spans="3:66" ht="28.5" customHeight="1" thickBot="1" x14ac:dyDescent="0.3">
      <c r="C80" s="28" t="s">
        <v>28</v>
      </c>
      <c r="D80" s="66"/>
      <c r="E80" s="675">
        <f>SUM(F12,F23,F34,F45,F56,F67,E79)</f>
        <v>0</v>
      </c>
      <c r="F80" s="664"/>
      <c r="G80" s="67"/>
      <c r="H80" s="664">
        <f>SUM(I12,I23,I34,I45,I56,I67,H79)</f>
        <v>0</v>
      </c>
      <c r="I80" s="664"/>
      <c r="J80" s="67"/>
      <c r="K80" s="664">
        <f>SUM(L12,L23,L34,L45,L56,L67,K79)</f>
        <v>0</v>
      </c>
      <c r="L80" s="664"/>
      <c r="M80" s="67"/>
      <c r="N80" s="664">
        <f>SUM(O12,O23,O34,O45,O56,O67,N79)</f>
        <v>0</v>
      </c>
      <c r="O80" s="664"/>
      <c r="P80" s="67"/>
      <c r="Q80" s="664">
        <f>SUM(R12,R23,R34,R45,R56,R67,Q79)</f>
        <v>0</v>
      </c>
      <c r="R80" s="664"/>
      <c r="S80" s="67"/>
      <c r="T80" s="664">
        <f>SUM(U12,U23,U34,U45,U56,U67,T79)</f>
        <v>0</v>
      </c>
      <c r="U80" s="664"/>
      <c r="V80" s="67"/>
      <c r="W80" s="664">
        <f>SUM(X12,X23,X34,X45,X56,X67,W79)</f>
        <v>0</v>
      </c>
      <c r="X80" s="664"/>
      <c r="Y80" s="67"/>
      <c r="Z80" s="664">
        <f>SUM(AA12,AA23,AA34,AA45,AA56,AA67,Z79)</f>
        <v>0</v>
      </c>
      <c r="AA80" s="664"/>
      <c r="AB80" s="67"/>
      <c r="AC80" s="664">
        <f>SUM(AD12,AD23,AD34,AD45,AD56,AD67,AC79)</f>
        <v>0</v>
      </c>
      <c r="AD80" s="664"/>
      <c r="AE80" s="67"/>
      <c r="AF80" s="664">
        <f>SUM(AG12,AG23,AG34,AG45,AG56,AG67,AF79)</f>
        <v>0</v>
      </c>
      <c r="AG80" s="667"/>
      <c r="AH80" s="69"/>
      <c r="AI80" s="352"/>
      <c r="AJ80" s="352"/>
      <c r="AK80" s="28" t="s">
        <v>28</v>
      </c>
      <c r="AL80" s="664">
        <f>SUM(AM12,AM23,AM34,AM45,AM56,AM67,AL79)</f>
        <v>0</v>
      </c>
      <c r="AM80" s="664"/>
      <c r="AN80" s="69"/>
      <c r="AO80" s="664">
        <f>SUM(AP12,AP23,AP34,AP45,AP56,AP67,AO79)</f>
        <v>0</v>
      </c>
      <c r="AP80" s="664"/>
      <c r="AQ80" s="69"/>
      <c r="AR80" s="664">
        <f>SUM(AS12,AS23,AS34,AS45,AS56,AS67,AR79)</f>
        <v>0</v>
      </c>
      <c r="AS80" s="664"/>
      <c r="AT80" s="69"/>
      <c r="AU80" s="664">
        <f>SUM(AV12,AV23,AV34,AV45,AV56,AV67,AU79)</f>
        <v>0</v>
      </c>
      <c r="AV80" s="664"/>
      <c r="AW80" s="69"/>
      <c r="AX80" s="664">
        <f>SUM(AY12,AY23,AY34,AY45,AY56,AY67,AX79)</f>
        <v>0</v>
      </c>
      <c r="AY80" s="664"/>
      <c r="AZ80" s="69"/>
      <c r="BA80" s="664">
        <f>SUM(BB12,BB23,BB34,BB45,BB56,BB67,BA79)</f>
        <v>0</v>
      </c>
      <c r="BB80" s="664"/>
      <c r="BC80" s="69"/>
      <c r="BD80" s="664">
        <f>SUM(BE12,BE23,BE34,BE45,BE56,BE67,BD79)</f>
        <v>0</v>
      </c>
      <c r="BE80" s="664"/>
      <c r="BF80" s="69"/>
      <c r="BG80" s="664">
        <f>SUM(BH12,BH23,BH34,BH45,BH56,BH67,BG79)</f>
        <v>0</v>
      </c>
      <c r="BH80" s="664"/>
      <c r="BI80" s="69"/>
      <c r="BJ80" s="664">
        <f>SUM(BK12,BK23,BK34,BK45,BK56,BK67,BJ79)</f>
        <v>0</v>
      </c>
      <c r="BK80" s="664"/>
      <c r="BL80" s="69"/>
      <c r="BM80" s="664">
        <f>SUM(BN12,BN23,BN34,BN45,BN56,BN67,BM79)</f>
        <v>0</v>
      </c>
      <c r="BN80" s="667"/>
    </row>
    <row r="81" spans="3:70" ht="28.5" customHeight="1" thickBot="1" x14ac:dyDescent="0.3">
      <c r="C81" s="29" t="s">
        <v>29</v>
      </c>
      <c r="D81" s="66"/>
      <c r="E81" s="676" t="str">
        <f>IF(E80=0," ",RANK(E80,($E80,$H80,$K80,$N80,$Q80,$T80,$W80,$Z80,$AC80,$AF80,$AL80,$AO80,$AR80,$AU80,$AX80,$BA80,$BD80,$BG80,$BJ80,$BM80),0))</f>
        <v xml:space="preserve"> </v>
      </c>
      <c r="F81" s="662"/>
      <c r="G81" s="68"/>
      <c r="H81" s="662" t="str">
        <f>IF(H80=0," ",RANK(H80,($E80,$H80,$K80,$N80,$Q80,$T80,$W80,$Z80,$AC80,$AF80,$AL80,$AO80,$AR80,$AU80,$AX80,$BA80,$BD80,$BG80,$BJ80,$BM80),0))</f>
        <v xml:space="preserve"> </v>
      </c>
      <c r="I81" s="662"/>
      <c r="J81" s="68"/>
      <c r="K81" s="662" t="str">
        <f>IF(K80=0," ",RANK(K80,($E80,$H80,$K80,$N80,$Q80,$T80,$W80,$Z80,$AC80,$AF80,$AL80,$AO80,$AR80,$AU80,$AX80,$BA80,$BD80,$BG80,$BJ80,$BM80),0))</f>
        <v xml:space="preserve"> </v>
      </c>
      <c r="L81" s="662"/>
      <c r="M81" s="68"/>
      <c r="N81" s="662" t="str">
        <f>IF(N80=0," ",RANK(N80,($E80,$H80,$K80,$N80,$Q80,$T80,$W80,$Z80,$AC80,$AF80,$AL80,$AO80,$AR80,$AU80,$AX80,$BA80,$BD80,$BG80,$BJ80,$BM80),0))</f>
        <v xml:space="preserve"> </v>
      </c>
      <c r="O81" s="662"/>
      <c r="P81" s="68"/>
      <c r="Q81" s="662" t="str">
        <f>IF(Q80=0," ",RANK(Q80,($E80,$H80,$K80,$N80,$Q80,$T80,$W80,$Z80,$AC80,$AF80,$AL80,$AO80,$AR80,$AU80,$AX80,$BA80,$BD80,$BG80,$BJ80,$BM80),0))</f>
        <v xml:space="preserve"> </v>
      </c>
      <c r="R81" s="662"/>
      <c r="S81" s="68"/>
      <c r="T81" s="662" t="str">
        <f>IF(T80=0," ",RANK(T80,($E80,$H80,$K80,$N80,$Q80,$T80,$W80,$Z80,$AC80,$AF80,$AL80,$AO80,$AR80,$AU80,$AX80,$BA80,$BD80,$BG80,$BJ80,$BM80),0))</f>
        <v xml:space="preserve"> </v>
      </c>
      <c r="U81" s="662"/>
      <c r="V81" s="68"/>
      <c r="W81" s="662" t="str">
        <f>IF(W80=0," ",RANK(W80,($E80,$H80,$K80,$N80,$Q80,$T80,$W80,$Z80,$AC80,$AF80,$AL80,$AO80,$AR80,$AU80,$AX80,$BA80,$BD80,$BG80,$BJ80,$BM80),0))</f>
        <v xml:space="preserve"> </v>
      </c>
      <c r="X81" s="662"/>
      <c r="Y81" s="68"/>
      <c r="Z81" s="662" t="str">
        <f>IF(Z80=0," ",RANK(Z80,($E80,$H80,$K80,$N80,$Q80,$T80,$W80,$Z80,$AC80,$AF80,$AL80,$AO80,$AR80,$AU80,$AX80,$BA80,$BD80,$BG80,$BJ80,$BM80),0))</f>
        <v xml:space="preserve"> </v>
      </c>
      <c r="AA81" s="662"/>
      <c r="AB81" s="68"/>
      <c r="AC81" s="662" t="str">
        <f>IF(AC80=0," ",RANK(AC80,($E80,$H80,$K80,$N80,$Q80,$T80,$W80,$Z80,$AC80,$AF80,$AL80,$AO80,$AR80,$AU80,$AX80,$BA80,$BD80,$BG80,$BJ80,$BM80),0))</f>
        <v xml:space="preserve"> </v>
      </c>
      <c r="AD81" s="662"/>
      <c r="AE81" s="68"/>
      <c r="AF81" s="662" t="str">
        <f>IF(AF80=0," ",RANK(AF80,($E80,$H80,$K80,$N80,$Q80,$T80,$W80,$Z80,$AC80,$AF80,$AL80,$AO80,$AR80,$AU80,$AX80,$BA80,$BD80,$BG80,$BJ80,$BM80),0))</f>
        <v xml:space="preserve"> </v>
      </c>
      <c r="AG81" s="663"/>
      <c r="AH81" s="70"/>
      <c r="AI81" s="354"/>
      <c r="AJ81" s="355"/>
      <c r="AK81" s="29" t="s">
        <v>29</v>
      </c>
      <c r="AL81" s="662" t="str">
        <f>IF(AL80=0," ",RANK(AL80,($E80,$H80,$K80,$N80,$Q80,$T80,$W80,$Z80,$AC80,$AF80,$AL80,$AO80,$AR80,$AU80,$AX80,$BA80,$BD80,$BG80,$BJ80,$BM80),0))</f>
        <v xml:space="preserve"> </v>
      </c>
      <c r="AM81" s="662"/>
      <c r="AN81" s="70"/>
      <c r="AO81" s="662" t="str">
        <f>IF(AO80=0," ",RANK(AO80,($E80,$H80,$K80,$N80,$Q80,$T80,$W80,$Z80,$AC80,$AF80,$AL80,$AO80,$AR80,$AU80,$AX80,$BA80,$BD80,$BG80,$BJ80,$BM80),0))</f>
        <v xml:space="preserve"> </v>
      </c>
      <c r="AP81" s="662"/>
      <c r="AQ81" s="70"/>
      <c r="AR81" s="662" t="str">
        <f>IF(AR80=0," ",RANK(AR80,($E80,$H80,$K80,$N80,$Q80,$T80,$W80,$Z80,$AC80,$AF80,$AL80,$AO80,$AR80,$AU80,$AX80,$BA80,$BD80,$BG80,$BJ80,$BM80),0))</f>
        <v xml:space="preserve"> </v>
      </c>
      <c r="AS81" s="662"/>
      <c r="AT81" s="70"/>
      <c r="AU81" s="662" t="str">
        <f>IF(AU80=0," ",RANK(AU80,($E80,$H80,$K80,$N80,$Q80,$T80,$W80,$Z80,$AC80,$AF80,$AL80,$AO80,$AR80,$AU80,$AX80,$BA80,$BD80,$BG80,$BJ80,$BM80),0))</f>
        <v xml:space="preserve"> </v>
      </c>
      <c r="AV81" s="662"/>
      <c r="AW81" s="70"/>
      <c r="AX81" s="662" t="str">
        <f>IF(AX80=0," ",RANK(AX80,($E80,$H80,$K80,$N80,$Q80,$T80,$W80,$Z80,$AC80,$AF80,$AL80,$AO80,$AR80,$AU80,$AX80,$BA80,$BD80,$BG80,$BJ80,$BM80),0))</f>
        <v xml:space="preserve"> </v>
      </c>
      <c r="AY81" s="662"/>
      <c r="AZ81" s="70"/>
      <c r="BA81" s="662" t="str">
        <f>IF(BA80=0," ",RANK(BA80,($E80,$H80,$K80,$N80,$Q80,$T80,$W80,$Z80,$AC80,$AF80,$AL80,$AO80,$AR80,$AU80,$AX80,$BA80,$BD80,$BG80,$BJ80,$BM80),0))</f>
        <v xml:space="preserve"> </v>
      </c>
      <c r="BB81" s="662"/>
      <c r="BC81" s="70"/>
      <c r="BD81" s="662" t="str">
        <f>IF(BD80=0," ",RANK(BD80,($E80,$H80,$K80,$N80,$Q80,$T80,$W80,$Z80,$AC80,$AF80,$AL80,$AO80,$AR80,$AU80,$AX80,$BA80,$BD80,$BG80,$BJ80,$BM80),0))</f>
        <v xml:space="preserve"> </v>
      </c>
      <c r="BE81" s="662"/>
      <c r="BF81" s="70"/>
      <c r="BG81" s="662" t="str">
        <f>IF(BG80=0," ",RANK(BG80,($E80,$H80,$K80,$N80,$Q80,$T80,$W80,$Z80,$AC80,$AF80,$AL80,$AO80,$AR80,$AU80,$AX80,$BA80,$BD80,$BG80,$BJ80,$BM80),0))</f>
        <v xml:space="preserve"> </v>
      </c>
      <c r="BH81" s="662"/>
      <c r="BI81" s="70"/>
      <c r="BJ81" s="662" t="str">
        <f>IF(BJ80=0," ",RANK(BJ80,($E80,$H80,$K80,$N80,$Q80,$T80,$W80,$Z80,$AC80,$AF80,$AL80,$AO80,$AR80,$AU80,$AX80,$BA80,$BD80,$BG80,$BJ80,$BM80),0))</f>
        <v xml:space="preserve"> </v>
      </c>
      <c r="BK81" s="662"/>
      <c r="BL81" s="70"/>
      <c r="BM81" s="662" t="str">
        <f>IF(BM80=0," ",RANK(BM80,($E80,$H80,$K80,$N80,$Q80,$T80,$W80,$Z80,$AC80,$AF80,$AL80,$AO80,$AR80,$AU80,$AX80,$BA80,$BD80,$BG80,$BJ80,$BM80),0))</f>
        <v xml:space="preserve"> </v>
      </c>
      <c r="BN81" s="663"/>
    </row>
    <row r="82" spans="3:70" ht="6" customHeight="1" thickTop="1" x14ac:dyDescent="0.25"/>
    <row r="83" spans="3:70" ht="12.75" customHeight="1" x14ac:dyDescent="0.25">
      <c r="AM83">
        <f t="shared" ref="AM83:BR83" si="1">A83</f>
        <v>0</v>
      </c>
      <c r="AN83">
        <f t="shared" si="1"/>
        <v>0</v>
      </c>
      <c r="AO83">
        <f t="shared" si="1"/>
        <v>0</v>
      </c>
      <c r="AP83">
        <f t="shared" si="1"/>
        <v>0</v>
      </c>
      <c r="AQ83">
        <f t="shared" si="1"/>
        <v>0</v>
      </c>
      <c r="AR83">
        <f t="shared" si="1"/>
        <v>0</v>
      </c>
      <c r="AS83">
        <f t="shared" si="1"/>
        <v>0</v>
      </c>
      <c r="AT83">
        <f t="shared" si="1"/>
        <v>0</v>
      </c>
      <c r="AU83">
        <f t="shared" si="1"/>
        <v>0</v>
      </c>
      <c r="AV83">
        <f t="shared" si="1"/>
        <v>0</v>
      </c>
      <c r="AW83">
        <f t="shared" si="1"/>
        <v>0</v>
      </c>
      <c r="AX83">
        <f t="shared" si="1"/>
        <v>0</v>
      </c>
      <c r="AY83">
        <f t="shared" si="1"/>
        <v>0</v>
      </c>
      <c r="AZ83">
        <f t="shared" si="1"/>
        <v>0</v>
      </c>
      <c r="BA83">
        <f t="shared" si="1"/>
        <v>0</v>
      </c>
      <c r="BB83">
        <f t="shared" si="1"/>
        <v>0</v>
      </c>
      <c r="BC83">
        <f t="shared" si="1"/>
        <v>0</v>
      </c>
      <c r="BD83">
        <f t="shared" si="1"/>
        <v>0</v>
      </c>
      <c r="BE83">
        <f t="shared" si="1"/>
        <v>0</v>
      </c>
      <c r="BF83">
        <f t="shared" si="1"/>
        <v>0</v>
      </c>
      <c r="BG83">
        <f t="shared" si="1"/>
        <v>0</v>
      </c>
      <c r="BH83">
        <f t="shared" si="1"/>
        <v>0</v>
      </c>
      <c r="BI83">
        <f t="shared" si="1"/>
        <v>0</v>
      </c>
      <c r="BJ83">
        <f t="shared" si="1"/>
        <v>0</v>
      </c>
      <c r="BK83">
        <f t="shared" si="1"/>
        <v>0</v>
      </c>
      <c r="BL83">
        <f t="shared" si="1"/>
        <v>0</v>
      </c>
      <c r="BM83">
        <f t="shared" si="1"/>
        <v>0</v>
      </c>
      <c r="BN83">
        <f t="shared" si="1"/>
        <v>0</v>
      </c>
      <c r="BO83">
        <f t="shared" si="1"/>
        <v>0</v>
      </c>
      <c r="BP83">
        <f t="shared" si="1"/>
        <v>0</v>
      </c>
      <c r="BQ83">
        <f t="shared" si="1"/>
        <v>0</v>
      </c>
      <c r="BR83">
        <f t="shared" si="1"/>
        <v>0</v>
      </c>
    </row>
    <row r="84" spans="3:70" ht="15.75" customHeight="1" x14ac:dyDescent="0.25">
      <c r="C84" s="639"/>
      <c r="D84" s="639"/>
      <c r="E84" s="639"/>
      <c r="F84" s="639"/>
      <c r="G84" s="639"/>
      <c r="H84" s="639"/>
      <c r="I84" s="639"/>
      <c r="J84" s="639"/>
      <c r="K84" s="639"/>
      <c r="L84" s="639"/>
      <c r="M84" s="639"/>
      <c r="N84" s="639"/>
      <c r="T84" s="649" t="s">
        <v>6160</v>
      </c>
      <c r="U84" s="649"/>
      <c r="V84" s="649"/>
      <c r="W84" s="649"/>
      <c r="X84" s="649"/>
      <c r="Y84" s="649"/>
      <c r="Z84" s="650"/>
      <c r="AA84" s="650"/>
      <c r="AB84" s="650"/>
      <c r="AC84" s="650"/>
      <c r="AD84" s="650"/>
      <c r="AE84" s="650"/>
      <c r="AF84" s="650"/>
      <c r="AM84">
        <f t="shared" ref="AM84:AZ87" si="2">A84</f>
        <v>0</v>
      </c>
      <c r="AN84">
        <f t="shared" si="2"/>
        <v>0</v>
      </c>
      <c r="AO84">
        <f t="shared" si="2"/>
        <v>0</v>
      </c>
      <c r="AP84">
        <f t="shared" si="2"/>
        <v>0</v>
      </c>
      <c r="AQ84">
        <f t="shared" si="2"/>
        <v>0</v>
      </c>
      <c r="AR84">
        <f t="shared" si="2"/>
        <v>0</v>
      </c>
      <c r="AS84">
        <f t="shared" si="2"/>
        <v>0</v>
      </c>
      <c r="AT84">
        <f t="shared" si="2"/>
        <v>0</v>
      </c>
      <c r="AU84">
        <f t="shared" si="2"/>
        <v>0</v>
      </c>
      <c r="AV84">
        <f t="shared" si="2"/>
        <v>0</v>
      </c>
      <c r="AW84">
        <f t="shared" si="2"/>
        <v>0</v>
      </c>
      <c r="AX84">
        <f t="shared" si="2"/>
        <v>0</v>
      </c>
      <c r="AY84">
        <f t="shared" si="2"/>
        <v>0</v>
      </c>
      <c r="AZ84">
        <f t="shared" si="2"/>
        <v>0</v>
      </c>
      <c r="BA84" s="649" t="s">
        <v>6160</v>
      </c>
      <c r="BB84" s="649"/>
      <c r="BC84" s="649"/>
      <c r="BD84" s="649"/>
      <c r="BE84" s="649"/>
      <c r="BF84" s="649"/>
      <c r="BG84" s="650"/>
      <c r="BH84" s="650"/>
      <c r="BI84" s="650"/>
      <c r="BJ84" s="650"/>
      <c r="BK84" s="650"/>
      <c r="BL84" s="650"/>
      <c r="BM84" s="650"/>
      <c r="BN84">
        <f t="shared" ref="BN84:BR87" si="3">AB84</f>
        <v>0</v>
      </c>
      <c r="BO84">
        <f t="shared" si="3"/>
        <v>0</v>
      </c>
      <c r="BP84">
        <f t="shared" si="3"/>
        <v>0</v>
      </c>
      <c r="BQ84">
        <f t="shared" si="3"/>
        <v>0</v>
      </c>
      <c r="BR84">
        <f t="shared" si="3"/>
        <v>0</v>
      </c>
    </row>
    <row r="85" spans="3:70" ht="15.75" customHeight="1" x14ac:dyDescent="0.25">
      <c r="C85" s="639"/>
      <c r="D85" s="639"/>
      <c r="E85" s="639"/>
      <c r="F85" s="639"/>
      <c r="G85" s="639"/>
      <c r="H85" s="639"/>
      <c r="I85" s="639"/>
      <c r="J85" s="639"/>
      <c r="K85" s="639"/>
      <c r="L85" s="639"/>
      <c r="M85" s="639"/>
      <c r="N85" s="639"/>
      <c r="T85" s="649"/>
      <c r="U85" s="649"/>
      <c r="V85" s="649"/>
      <c r="W85" s="649"/>
      <c r="X85" s="649"/>
      <c r="Y85" s="649"/>
      <c r="Z85" s="650"/>
      <c r="AA85" s="650"/>
      <c r="AB85" s="650"/>
      <c r="AC85" s="650"/>
      <c r="AD85" s="650"/>
      <c r="AE85" s="650"/>
      <c r="AF85" s="650"/>
      <c r="AM85">
        <f t="shared" si="2"/>
        <v>0</v>
      </c>
      <c r="AN85">
        <f t="shared" si="2"/>
        <v>0</v>
      </c>
      <c r="AO85">
        <f t="shared" si="2"/>
        <v>0</v>
      </c>
      <c r="AP85">
        <f t="shared" si="2"/>
        <v>0</v>
      </c>
      <c r="AQ85">
        <f t="shared" si="2"/>
        <v>0</v>
      </c>
      <c r="AR85">
        <f t="shared" si="2"/>
        <v>0</v>
      </c>
      <c r="AS85">
        <f t="shared" si="2"/>
        <v>0</v>
      </c>
      <c r="AT85">
        <f t="shared" si="2"/>
        <v>0</v>
      </c>
      <c r="AU85">
        <f t="shared" si="2"/>
        <v>0</v>
      </c>
      <c r="AV85">
        <f t="shared" si="2"/>
        <v>0</v>
      </c>
      <c r="AW85">
        <f t="shared" si="2"/>
        <v>0</v>
      </c>
      <c r="AX85">
        <f t="shared" si="2"/>
        <v>0</v>
      </c>
      <c r="AY85">
        <f t="shared" si="2"/>
        <v>0</v>
      </c>
      <c r="AZ85">
        <f t="shared" si="2"/>
        <v>0</v>
      </c>
      <c r="BA85" s="649"/>
      <c r="BB85" s="649"/>
      <c r="BC85" s="649"/>
      <c r="BD85" s="649"/>
      <c r="BE85" s="649"/>
      <c r="BF85" s="649"/>
      <c r="BG85" s="650"/>
      <c r="BH85" s="650"/>
      <c r="BI85" s="650"/>
      <c r="BJ85" s="650"/>
      <c r="BK85" s="650"/>
      <c r="BL85" s="650"/>
      <c r="BM85" s="650"/>
      <c r="BN85">
        <f t="shared" si="3"/>
        <v>0</v>
      </c>
      <c r="BO85">
        <f t="shared" si="3"/>
        <v>0</v>
      </c>
      <c r="BP85">
        <f t="shared" si="3"/>
        <v>0</v>
      </c>
      <c r="BQ85">
        <f t="shared" si="3"/>
        <v>0</v>
      </c>
      <c r="BR85">
        <f t="shared" si="3"/>
        <v>0</v>
      </c>
    </row>
    <row r="86" spans="3:70" ht="15.75" customHeight="1" x14ac:dyDescent="0.25">
      <c r="C86" s="639"/>
      <c r="D86" s="639"/>
      <c r="E86" s="639"/>
      <c r="F86" s="639"/>
      <c r="G86" s="639"/>
      <c r="H86" s="639"/>
      <c r="I86" s="639"/>
      <c r="J86" s="639"/>
      <c r="K86" s="639"/>
      <c r="L86" s="639"/>
      <c r="M86" s="639"/>
      <c r="N86" s="639"/>
      <c r="T86" s="649"/>
      <c r="U86" s="649"/>
      <c r="V86" s="649"/>
      <c r="W86" s="649"/>
      <c r="X86" s="649"/>
      <c r="Y86" s="649"/>
      <c r="Z86" s="650"/>
      <c r="AA86" s="650"/>
      <c r="AB86" s="650"/>
      <c r="AC86" s="650"/>
      <c r="AD86" s="650"/>
      <c r="AE86" s="650"/>
      <c r="AF86" s="650"/>
      <c r="AM86">
        <f t="shared" si="2"/>
        <v>0</v>
      </c>
      <c r="AN86">
        <f t="shared" si="2"/>
        <v>0</v>
      </c>
      <c r="AO86">
        <f t="shared" si="2"/>
        <v>0</v>
      </c>
      <c r="AP86">
        <f t="shared" si="2"/>
        <v>0</v>
      </c>
      <c r="AQ86">
        <f t="shared" si="2"/>
        <v>0</v>
      </c>
      <c r="AR86">
        <f t="shared" si="2"/>
        <v>0</v>
      </c>
      <c r="AS86">
        <f t="shared" si="2"/>
        <v>0</v>
      </c>
      <c r="AT86">
        <f t="shared" si="2"/>
        <v>0</v>
      </c>
      <c r="AU86">
        <f t="shared" si="2"/>
        <v>0</v>
      </c>
      <c r="AV86">
        <f t="shared" si="2"/>
        <v>0</v>
      </c>
      <c r="AW86">
        <f t="shared" si="2"/>
        <v>0</v>
      </c>
      <c r="AX86">
        <f t="shared" si="2"/>
        <v>0</v>
      </c>
      <c r="AY86">
        <f t="shared" si="2"/>
        <v>0</v>
      </c>
      <c r="AZ86">
        <f t="shared" si="2"/>
        <v>0</v>
      </c>
      <c r="BA86" s="649"/>
      <c r="BB86" s="649"/>
      <c r="BC86" s="649"/>
      <c r="BD86" s="649"/>
      <c r="BE86" s="649"/>
      <c r="BF86" s="649"/>
      <c r="BG86" s="650"/>
      <c r="BH86" s="650"/>
      <c r="BI86" s="650"/>
      <c r="BJ86" s="650"/>
      <c r="BK86" s="650"/>
      <c r="BL86" s="650"/>
      <c r="BM86" s="650"/>
      <c r="BN86">
        <f t="shared" si="3"/>
        <v>0</v>
      </c>
      <c r="BO86">
        <f t="shared" si="3"/>
        <v>0</v>
      </c>
      <c r="BP86">
        <f t="shared" si="3"/>
        <v>0</v>
      </c>
      <c r="BQ86">
        <f t="shared" si="3"/>
        <v>0</v>
      </c>
      <c r="BR86">
        <f t="shared" si="3"/>
        <v>0</v>
      </c>
    </row>
    <row r="87" spans="3:70" ht="15.75" customHeight="1" x14ac:dyDescent="0.25">
      <c r="C87" s="639"/>
      <c r="D87" s="639"/>
      <c r="E87" s="639"/>
      <c r="F87" s="639"/>
      <c r="G87" s="639"/>
      <c r="H87" s="639"/>
      <c r="I87" s="639"/>
      <c r="J87" s="639"/>
      <c r="K87" s="639"/>
      <c r="L87" s="639"/>
      <c r="M87" s="639"/>
      <c r="N87" s="639"/>
      <c r="T87" s="650"/>
      <c r="U87" s="650"/>
      <c r="V87" s="650"/>
      <c r="W87" s="650"/>
      <c r="X87" s="650"/>
      <c r="Y87" s="650"/>
      <c r="Z87" s="650"/>
      <c r="AA87" s="650"/>
      <c r="AB87" s="650"/>
      <c r="AC87" s="650"/>
      <c r="AD87" s="650"/>
      <c r="AE87" s="650"/>
      <c r="AF87" s="650"/>
      <c r="AM87">
        <f t="shared" si="2"/>
        <v>0</v>
      </c>
      <c r="AN87">
        <f t="shared" si="2"/>
        <v>0</v>
      </c>
      <c r="AO87">
        <f t="shared" si="2"/>
        <v>0</v>
      </c>
      <c r="AP87">
        <f t="shared" si="2"/>
        <v>0</v>
      </c>
      <c r="AQ87">
        <f t="shared" si="2"/>
        <v>0</v>
      </c>
      <c r="AR87">
        <f t="shared" si="2"/>
        <v>0</v>
      </c>
      <c r="AS87">
        <f t="shared" si="2"/>
        <v>0</v>
      </c>
      <c r="AT87">
        <f t="shared" si="2"/>
        <v>0</v>
      </c>
      <c r="AU87">
        <f t="shared" si="2"/>
        <v>0</v>
      </c>
      <c r="AV87">
        <f t="shared" si="2"/>
        <v>0</v>
      </c>
      <c r="AW87">
        <f t="shared" si="2"/>
        <v>0</v>
      </c>
      <c r="AX87">
        <f t="shared" si="2"/>
        <v>0</v>
      </c>
      <c r="AY87">
        <f t="shared" si="2"/>
        <v>0</v>
      </c>
      <c r="AZ87">
        <f t="shared" si="2"/>
        <v>0</v>
      </c>
      <c r="BA87" s="650"/>
      <c r="BB87" s="650"/>
      <c r="BC87" s="650"/>
      <c r="BD87" s="650"/>
      <c r="BE87" s="650"/>
      <c r="BF87" s="650"/>
      <c r="BG87" s="650"/>
      <c r="BH87" s="650"/>
      <c r="BI87" s="650"/>
      <c r="BJ87" s="650"/>
      <c r="BK87" s="650"/>
      <c r="BL87" s="650"/>
      <c r="BM87" s="650"/>
      <c r="BN87">
        <f t="shared" si="3"/>
        <v>0</v>
      </c>
      <c r="BO87">
        <f t="shared" si="3"/>
        <v>0</v>
      </c>
      <c r="BP87">
        <f t="shared" si="3"/>
        <v>0</v>
      </c>
      <c r="BQ87">
        <f t="shared" si="3"/>
        <v>0</v>
      </c>
      <c r="BR87">
        <f t="shared" si="3"/>
        <v>0</v>
      </c>
    </row>
  </sheetData>
  <sheetProtection password="CFA3" sheet="1" selectLockedCells="1"/>
  <mergeCells count="265">
    <mergeCell ref="BN67:BN68"/>
    <mergeCell ref="BM80:BN80"/>
    <mergeCell ref="BM81:BN81"/>
    <mergeCell ref="BJ9:BK9"/>
    <mergeCell ref="BK10:BK11"/>
    <mergeCell ref="BK12:BK13"/>
    <mergeCell ref="BK23:BK24"/>
    <mergeCell ref="BN45:BN46"/>
    <mergeCell ref="BN56:BN57"/>
    <mergeCell ref="BK34:BK35"/>
    <mergeCell ref="BK56:BK57"/>
    <mergeCell ref="BM9:BN9"/>
    <mergeCell ref="BN10:BN11"/>
    <mergeCell ref="BN12:BN13"/>
    <mergeCell ref="BN23:BN24"/>
    <mergeCell ref="BN34:BN35"/>
    <mergeCell ref="BK67:BK68"/>
    <mergeCell ref="BJ80:BK80"/>
    <mergeCell ref="BJ81:BK81"/>
    <mergeCell ref="BG9:BH9"/>
    <mergeCell ref="BH10:BH11"/>
    <mergeCell ref="BH12:BH13"/>
    <mergeCell ref="BH23:BH24"/>
    <mergeCell ref="BH67:BH68"/>
    <mergeCell ref="BG80:BH80"/>
    <mergeCell ref="BK45:BK46"/>
    <mergeCell ref="BH34:BH35"/>
    <mergeCell ref="BH45:BH46"/>
    <mergeCell ref="BH56:BH57"/>
    <mergeCell ref="BA80:BB80"/>
    <mergeCell ref="BD9:BE9"/>
    <mergeCell ref="BE10:BE11"/>
    <mergeCell ref="BE12:BE13"/>
    <mergeCell ref="BE23:BE24"/>
    <mergeCell ref="BE34:BE35"/>
    <mergeCell ref="BE67:BE68"/>
    <mergeCell ref="BA9:BB9"/>
    <mergeCell ref="BB10:BB11"/>
    <mergeCell ref="AY56:AY57"/>
    <mergeCell ref="AY67:AY68"/>
    <mergeCell ref="AX80:AY80"/>
    <mergeCell ref="BE56:BE57"/>
    <mergeCell ref="BB67:BB68"/>
    <mergeCell ref="BD80:BE80"/>
    <mergeCell ref="BE45:BE46"/>
    <mergeCell ref="AY34:AY35"/>
    <mergeCell ref="BB12:BB13"/>
    <mergeCell ref="BB23:BB24"/>
    <mergeCell ref="BB34:BB35"/>
    <mergeCell ref="BB45:BB46"/>
    <mergeCell ref="BB56:BB57"/>
    <mergeCell ref="AS56:AS57"/>
    <mergeCell ref="AY12:AY13"/>
    <mergeCell ref="AY23:AY24"/>
    <mergeCell ref="AY45:AY46"/>
    <mergeCell ref="AV45:AV46"/>
    <mergeCell ref="AR81:AS81"/>
    <mergeCell ref="AV67:AV68"/>
    <mergeCell ref="AU80:AV80"/>
    <mergeCell ref="AU81:AV81"/>
    <mergeCell ref="AR79:AS79"/>
    <mergeCell ref="AR78:AS78"/>
    <mergeCell ref="AU78:AV78"/>
    <mergeCell ref="AV56:AV57"/>
    <mergeCell ref="AU9:AV9"/>
    <mergeCell ref="AV10:AV11"/>
    <mergeCell ref="AV12:AV13"/>
    <mergeCell ref="AV23:AV24"/>
    <mergeCell ref="AV34:AV35"/>
    <mergeCell ref="AM67:AM68"/>
    <mergeCell ref="AL80:AM80"/>
    <mergeCell ref="AP67:AP68"/>
    <mergeCell ref="AO80:AP80"/>
    <mergeCell ref="AR9:AS9"/>
    <mergeCell ref="AS10:AS11"/>
    <mergeCell ref="AS12:AS13"/>
    <mergeCell ref="AS23:AS24"/>
    <mergeCell ref="AS67:AS68"/>
    <mergeCell ref="AR80:AS80"/>
    <mergeCell ref="AP23:AP24"/>
    <mergeCell ref="AP34:AP35"/>
    <mergeCell ref="AP45:AP46"/>
    <mergeCell ref="AS45:AS46"/>
    <mergeCell ref="AX9:AY9"/>
    <mergeCell ref="AY10:AY11"/>
    <mergeCell ref="AO81:AP81"/>
    <mergeCell ref="AL9:AM9"/>
    <mergeCell ref="AM10:AM11"/>
    <mergeCell ref="AM12:AM13"/>
    <mergeCell ref="AM23:AM24"/>
    <mergeCell ref="AM34:AM35"/>
    <mergeCell ref="AM45:AM46"/>
    <mergeCell ref="AM56:AM57"/>
    <mergeCell ref="AL81:AM81"/>
    <mergeCell ref="AP10:AP11"/>
    <mergeCell ref="C84:N87"/>
    <mergeCell ref="AD10:AD11"/>
    <mergeCell ref="K80:L80"/>
    <mergeCell ref="N80:O80"/>
    <mergeCell ref="C45:C46"/>
    <mergeCell ref="I23:I24"/>
    <mergeCell ref="C56:C57"/>
    <mergeCell ref="F56:F57"/>
    <mergeCell ref="C9:C11"/>
    <mergeCell ref="F10:F11"/>
    <mergeCell ref="AC9:AD9"/>
    <mergeCell ref="AF9:AG9"/>
    <mergeCell ref="U10:U11"/>
    <mergeCell ref="K9:L9"/>
    <mergeCell ref="N9:O9"/>
    <mergeCell ref="Q9:R9"/>
    <mergeCell ref="AG10:AG11"/>
    <mergeCell ref="I10:I11"/>
    <mergeCell ref="L10:L11"/>
    <mergeCell ref="I12:I13"/>
    <mergeCell ref="L12:L13"/>
    <mergeCell ref="C12:C13"/>
    <mergeCell ref="E9:F9"/>
    <mergeCell ref="H9:I9"/>
    <mergeCell ref="C67:C68"/>
    <mergeCell ref="O10:O11"/>
    <mergeCell ref="R10:R11"/>
    <mergeCell ref="O12:O13"/>
    <mergeCell ref="C23:C24"/>
    <mergeCell ref="C34:C35"/>
    <mergeCell ref="O56:O57"/>
    <mergeCell ref="R56:R57"/>
    <mergeCell ref="F23:F24"/>
    <mergeCell ref="F12:F13"/>
    <mergeCell ref="AD23:AD24"/>
    <mergeCell ref="U23:U24"/>
    <mergeCell ref="AD12:AD13"/>
    <mergeCell ref="X10:X11"/>
    <mergeCell ref="T9:U9"/>
    <mergeCell ref="W9:X9"/>
    <mergeCell ref="X12:X13"/>
    <mergeCell ref="AA12:AA13"/>
    <mergeCell ref="AA10:AA11"/>
    <mergeCell ref="Z9:AA9"/>
    <mergeCell ref="T4:AC4"/>
    <mergeCell ref="T6:AC6"/>
    <mergeCell ref="R12:R13"/>
    <mergeCell ref="H80:I80"/>
    <mergeCell ref="U12:U13"/>
    <mergeCell ref="Q80:R80"/>
    <mergeCell ref="T80:U80"/>
    <mergeCell ref="L23:L24"/>
    <mergeCell ref="O23:O24"/>
    <mergeCell ref="C4:N6"/>
    <mergeCell ref="R23:R24"/>
    <mergeCell ref="E80:F80"/>
    <mergeCell ref="AA56:AA57"/>
    <mergeCell ref="X56:X57"/>
    <mergeCell ref="I56:I57"/>
    <mergeCell ref="E81:F81"/>
    <mergeCell ref="H81:I81"/>
    <mergeCell ref="K81:L81"/>
    <mergeCell ref="N81:O81"/>
    <mergeCell ref="Q81:R81"/>
    <mergeCell ref="T81:U81"/>
    <mergeCell ref="F34:F35"/>
    <mergeCell ref="I34:I35"/>
    <mergeCell ref="L34:L35"/>
    <mergeCell ref="O34:O35"/>
    <mergeCell ref="R34:R35"/>
    <mergeCell ref="L56:L57"/>
    <mergeCell ref="F45:F46"/>
    <mergeCell ref="I45:I46"/>
    <mergeCell ref="L45:L46"/>
    <mergeCell ref="F67:F68"/>
    <mergeCell ref="I67:I68"/>
    <mergeCell ref="L67:L68"/>
    <mergeCell ref="O67:O68"/>
    <mergeCell ref="AG45:AG46"/>
    <mergeCell ref="AD45:AD46"/>
    <mergeCell ref="R45:R46"/>
    <mergeCell ref="U45:U46"/>
    <mergeCell ref="X45:X46"/>
    <mergeCell ref="U56:U57"/>
    <mergeCell ref="R67:R68"/>
    <mergeCell ref="U67:U68"/>
    <mergeCell ref="X67:X68"/>
    <mergeCell ref="AA67:AA68"/>
    <mergeCell ref="AD67:AD68"/>
    <mergeCell ref="O45:O46"/>
    <mergeCell ref="AG12:AG13"/>
    <mergeCell ref="T84:AF87"/>
    <mergeCell ref="AD56:AD57"/>
    <mergeCell ref="X34:X35"/>
    <mergeCell ref="AA34:AA35"/>
    <mergeCell ref="AC81:AD81"/>
    <mergeCell ref="AD34:AD35"/>
    <mergeCell ref="AG34:AG35"/>
    <mergeCell ref="AC80:AD80"/>
    <mergeCell ref="AA45:AA46"/>
    <mergeCell ref="AG56:AG57"/>
    <mergeCell ref="AG23:AG24"/>
    <mergeCell ref="U34:U35"/>
    <mergeCell ref="X23:X24"/>
    <mergeCell ref="AA23:AA24"/>
    <mergeCell ref="T79:U79"/>
    <mergeCell ref="W79:X79"/>
    <mergeCell ref="Z79:AA79"/>
    <mergeCell ref="AC79:AD79"/>
    <mergeCell ref="AG67:AG68"/>
    <mergeCell ref="E79:F79"/>
    <mergeCell ref="H79:I79"/>
    <mergeCell ref="K79:L79"/>
    <mergeCell ref="N79:O79"/>
    <mergeCell ref="Q79:R79"/>
    <mergeCell ref="AF80:AG80"/>
    <mergeCell ref="BJ79:BK79"/>
    <mergeCell ref="AF81:AG81"/>
    <mergeCell ref="W81:X81"/>
    <mergeCell ref="Z81:AA81"/>
    <mergeCell ref="W80:X80"/>
    <mergeCell ref="Z80:AA80"/>
    <mergeCell ref="AX81:AY81"/>
    <mergeCell ref="BA81:BB81"/>
    <mergeCell ref="BG81:BH81"/>
    <mergeCell ref="BD81:BE81"/>
    <mergeCell ref="T5:AC5"/>
    <mergeCell ref="AF79:AG79"/>
    <mergeCell ref="AL79:AM79"/>
    <mergeCell ref="AO79:AP79"/>
    <mergeCell ref="BM79:BN79"/>
    <mergeCell ref="AU79:AV79"/>
    <mergeCell ref="AX79:AY79"/>
    <mergeCell ref="BA79:BB79"/>
    <mergeCell ref="BD79:BE79"/>
    <mergeCell ref="BG79:BH79"/>
    <mergeCell ref="E78:F78"/>
    <mergeCell ref="H78:I78"/>
    <mergeCell ref="K78:L78"/>
    <mergeCell ref="N78:O78"/>
    <mergeCell ref="Q78:R78"/>
    <mergeCell ref="T78:U78"/>
    <mergeCell ref="BJ78:BK78"/>
    <mergeCell ref="BM78:BN78"/>
    <mergeCell ref="W78:X78"/>
    <mergeCell ref="Z78:AA78"/>
    <mergeCell ref="AC78:AD78"/>
    <mergeCell ref="AF78:AG78"/>
    <mergeCell ref="AL78:AM78"/>
    <mergeCell ref="AO78:AP78"/>
    <mergeCell ref="BA84:BM87"/>
    <mergeCell ref="AK9:AK11"/>
    <mergeCell ref="AK12:AK13"/>
    <mergeCell ref="AK23:AK24"/>
    <mergeCell ref="AK34:AK35"/>
    <mergeCell ref="AK45:AK46"/>
    <mergeCell ref="AX78:AY78"/>
    <mergeCell ref="BA78:BB78"/>
    <mergeCell ref="BD78:BE78"/>
    <mergeCell ref="BG78:BH78"/>
    <mergeCell ref="AK56:AK57"/>
    <mergeCell ref="AK67:AK68"/>
    <mergeCell ref="AK4:AU6"/>
    <mergeCell ref="BA4:BJ4"/>
    <mergeCell ref="BA5:BJ5"/>
    <mergeCell ref="BA6:BJ6"/>
    <mergeCell ref="AO9:AP9"/>
    <mergeCell ref="AP56:AP57"/>
    <mergeCell ref="AS34:AS35"/>
    <mergeCell ref="AP12:AP13"/>
  </mergeCells>
  <phoneticPr fontId="0" type="noConversion"/>
  <conditionalFormatting sqref="E80:F80">
    <cfRule type="cellIs" dxfId="41" priority="65" stopIfTrue="1" operator="equal">
      <formula>0</formula>
    </cfRule>
  </conditionalFormatting>
  <conditionalFormatting sqref="H80:I80">
    <cfRule type="cellIs" dxfId="40" priority="64" stopIfTrue="1" operator="equal">
      <formula>0</formula>
    </cfRule>
  </conditionalFormatting>
  <conditionalFormatting sqref="K80:L80">
    <cfRule type="cellIs" dxfId="39" priority="63" stopIfTrue="1" operator="equal">
      <formula>0</formula>
    </cfRule>
  </conditionalFormatting>
  <conditionalFormatting sqref="N80:O80">
    <cfRule type="cellIs" dxfId="38" priority="62" stopIfTrue="1" operator="equal">
      <formula>0</formula>
    </cfRule>
  </conditionalFormatting>
  <conditionalFormatting sqref="Q80:R80">
    <cfRule type="cellIs" dxfId="37" priority="61" stopIfTrue="1" operator="equal">
      <formula>0</formula>
    </cfRule>
  </conditionalFormatting>
  <conditionalFormatting sqref="T80:U80">
    <cfRule type="cellIs" dxfId="36" priority="60" stopIfTrue="1" operator="equal">
      <formula>0</formula>
    </cfRule>
  </conditionalFormatting>
  <conditionalFormatting sqref="W80:X80">
    <cfRule type="cellIs" dxfId="35" priority="59" stopIfTrue="1" operator="equal">
      <formula>0</formula>
    </cfRule>
  </conditionalFormatting>
  <conditionalFormatting sqref="Z80:AA80">
    <cfRule type="cellIs" dxfId="34" priority="58" stopIfTrue="1" operator="equal">
      <formula>0</formula>
    </cfRule>
  </conditionalFormatting>
  <conditionalFormatting sqref="AC80:AD80">
    <cfRule type="cellIs" dxfId="33" priority="57" stopIfTrue="1" operator="equal">
      <formula>0</formula>
    </cfRule>
  </conditionalFormatting>
  <conditionalFormatting sqref="AF80:AG80">
    <cfRule type="cellIs" dxfId="32" priority="56" stopIfTrue="1" operator="equal">
      <formula>0</formula>
    </cfRule>
  </conditionalFormatting>
  <conditionalFormatting sqref="AL80:AM80">
    <cfRule type="cellIs" dxfId="31" priority="55" stopIfTrue="1" operator="equal">
      <formula>0</formula>
    </cfRule>
  </conditionalFormatting>
  <conditionalFormatting sqref="AO80:AP80">
    <cfRule type="cellIs" dxfId="30" priority="54" stopIfTrue="1" operator="equal">
      <formula>0</formula>
    </cfRule>
  </conditionalFormatting>
  <conditionalFormatting sqref="AR80:AS80">
    <cfRule type="cellIs" dxfId="29" priority="53" stopIfTrue="1" operator="equal">
      <formula>0</formula>
    </cfRule>
  </conditionalFormatting>
  <conditionalFormatting sqref="AU80:AV80">
    <cfRule type="cellIs" dxfId="28" priority="52" stopIfTrue="1" operator="equal">
      <formula>0</formula>
    </cfRule>
  </conditionalFormatting>
  <conditionalFormatting sqref="AX80:AY80">
    <cfRule type="cellIs" dxfId="27" priority="51" stopIfTrue="1" operator="equal">
      <formula>0</formula>
    </cfRule>
  </conditionalFormatting>
  <conditionalFormatting sqref="BA80:BB80">
    <cfRule type="cellIs" dxfId="26" priority="50" stopIfTrue="1" operator="equal">
      <formula>0</formula>
    </cfRule>
  </conditionalFormatting>
  <conditionalFormatting sqref="BD80:BE80">
    <cfRule type="cellIs" dxfId="25" priority="49" stopIfTrue="1" operator="equal">
      <formula>0</formula>
    </cfRule>
  </conditionalFormatting>
  <conditionalFormatting sqref="BG80:BH80">
    <cfRule type="cellIs" dxfId="24" priority="48" stopIfTrue="1" operator="equal">
      <formula>0</formula>
    </cfRule>
  </conditionalFormatting>
  <conditionalFormatting sqref="BJ80:BK80">
    <cfRule type="cellIs" dxfId="23" priority="47" stopIfTrue="1" operator="equal">
      <formula>0</formula>
    </cfRule>
  </conditionalFormatting>
  <conditionalFormatting sqref="BM80:BN80">
    <cfRule type="cellIs" dxfId="22" priority="46" stopIfTrue="1" operator="equal">
      <formula>0</formula>
    </cfRule>
  </conditionalFormatting>
  <conditionalFormatting sqref="E46">
    <cfRule type="expression" dxfId="21" priority="45" stopIfTrue="1">
      <formula>D46=40</formula>
    </cfRule>
  </conditionalFormatting>
  <conditionalFormatting sqref="AL46">
    <cfRule type="expression" dxfId="20" priority="44" stopIfTrue="1">
      <formula>AH46=40</formula>
    </cfRule>
  </conditionalFormatting>
  <conditionalFormatting sqref="K46">
    <cfRule type="expression" dxfId="19" priority="42" stopIfTrue="1">
      <formula>J46=40</formula>
    </cfRule>
  </conditionalFormatting>
  <conditionalFormatting sqref="N46">
    <cfRule type="expression" dxfId="18" priority="41" stopIfTrue="1">
      <formula>M46=40</formula>
    </cfRule>
  </conditionalFormatting>
  <conditionalFormatting sqref="Q46">
    <cfRule type="expression" dxfId="17" priority="40" stopIfTrue="1">
      <formula>P46=40</formula>
    </cfRule>
  </conditionalFormatting>
  <conditionalFormatting sqref="T46">
    <cfRule type="expression" dxfId="16" priority="39" stopIfTrue="1">
      <formula>S46=40</formula>
    </cfRule>
  </conditionalFormatting>
  <conditionalFormatting sqref="W46">
    <cfRule type="expression" dxfId="15" priority="38" stopIfTrue="1">
      <formula>V46=40</formula>
    </cfRule>
  </conditionalFormatting>
  <conditionalFormatting sqref="Z46">
    <cfRule type="expression" dxfId="14" priority="37" stopIfTrue="1">
      <formula>Y46=40</formula>
    </cfRule>
  </conditionalFormatting>
  <conditionalFormatting sqref="AC46">
    <cfRule type="expression" dxfId="13" priority="36" stopIfTrue="1">
      <formula>AB46=40</formula>
    </cfRule>
  </conditionalFormatting>
  <conditionalFormatting sqref="AF46">
    <cfRule type="expression" dxfId="12" priority="35" stopIfTrue="1">
      <formula>AE46=40</formula>
    </cfRule>
  </conditionalFormatting>
  <conditionalFormatting sqref="AO46">
    <cfRule type="expression" dxfId="11" priority="34" stopIfTrue="1">
      <formula>AN46=40</formula>
    </cfRule>
  </conditionalFormatting>
  <conditionalFormatting sqref="AR46">
    <cfRule type="expression" dxfId="10" priority="33" stopIfTrue="1">
      <formula>AQ46=40</formula>
    </cfRule>
  </conditionalFormatting>
  <conditionalFormatting sqref="AU46">
    <cfRule type="expression" dxfId="9" priority="32" stopIfTrue="1">
      <formula>AT46=40</formula>
    </cfRule>
  </conditionalFormatting>
  <conditionalFormatting sqref="AX46">
    <cfRule type="expression" dxfId="8" priority="31" stopIfTrue="1">
      <formula>AW46=40</formula>
    </cfRule>
  </conditionalFormatting>
  <conditionalFormatting sqref="BA46">
    <cfRule type="expression" dxfId="7" priority="30" stopIfTrue="1">
      <formula>AZ46=40</formula>
    </cfRule>
  </conditionalFormatting>
  <conditionalFormatting sqref="BD46">
    <cfRule type="expression" dxfId="6" priority="29" stopIfTrue="1">
      <formula>BC46=40</formula>
    </cfRule>
  </conditionalFormatting>
  <conditionalFormatting sqref="BG46">
    <cfRule type="expression" dxfId="5" priority="28" stopIfTrue="1">
      <formula>BF46=40</formula>
    </cfRule>
  </conditionalFormatting>
  <conditionalFormatting sqref="BJ46">
    <cfRule type="expression" dxfId="4" priority="27" stopIfTrue="1">
      <formula>BI46=40</formula>
    </cfRule>
  </conditionalFormatting>
  <conditionalFormatting sqref="BM46">
    <cfRule type="expression" dxfId="3" priority="26" stopIfTrue="1">
      <formula>BL46=40</formula>
    </cfRule>
  </conditionalFormatting>
  <conditionalFormatting sqref="E56:AJ77 D12:AJ35 AL12:BN35 AL56:BN77">
    <cfRule type="cellIs" dxfId="2" priority="5" stopIfTrue="1" operator="equal">
      <formula>0</formula>
    </cfRule>
  </conditionalFormatting>
  <conditionalFormatting sqref="E79:AJ79 AL79:BN79">
    <cfRule type="cellIs" dxfId="1" priority="2" stopIfTrue="1" operator="greaterThan">
      <formula>0</formula>
    </cfRule>
  </conditionalFormatting>
  <conditionalFormatting sqref="H46">
    <cfRule type="expression" dxfId="0" priority="1" stopIfTrue="1">
      <formula>G46=40</formula>
    </cfRule>
  </conditionalFormatting>
  <pageMargins left="0.25" right="0.16" top="0.17" bottom="0.19" header="0.19" footer="0.18"/>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E4389"/>
  <sheetViews>
    <sheetView workbookViewId="0">
      <selection activeCell="K17" sqref="K17"/>
    </sheetView>
  </sheetViews>
  <sheetFormatPr defaultRowHeight="12.5" x14ac:dyDescent="0.25"/>
  <cols>
    <col min="1" max="1" width="25.7265625" customWidth="1"/>
    <col min="2" max="2" width="9.1796875" style="23" customWidth="1"/>
  </cols>
  <sheetData>
    <row r="2" spans="1:5" x14ac:dyDescent="0.25">
      <c r="A2" t="s">
        <v>167</v>
      </c>
      <c r="B2" s="24">
        <v>0</v>
      </c>
      <c r="D2" s="23" t="s">
        <v>4555</v>
      </c>
      <c r="E2" t="s">
        <v>130</v>
      </c>
    </row>
    <row r="3" spans="1:5" x14ac:dyDescent="0.25">
      <c r="A3" t="s">
        <v>168</v>
      </c>
      <c r="B3" s="24">
        <v>0</v>
      </c>
      <c r="D3" s="23" t="s">
        <v>4556</v>
      </c>
      <c r="E3" t="s">
        <v>130</v>
      </c>
    </row>
    <row r="4" spans="1:5" x14ac:dyDescent="0.25">
      <c r="A4" t="s">
        <v>169</v>
      </c>
      <c r="B4" s="24">
        <v>0</v>
      </c>
      <c r="D4" s="23" t="s">
        <v>4557</v>
      </c>
      <c r="E4" t="s">
        <v>130</v>
      </c>
    </row>
    <row r="5" spans="1:5" x14ac:dyDescent="0.25">
      <c r="A5" t="s">
        <v>170</v>
      </c>
      <c r="B5" s="24">
        <v>0</v>
      </c>
      <c r="D5" s="23" t="s">
        <v>4558</v>
      </c>
      <c r="E5" t="s">
        <v>130</v>
      </c>
    </row>
    <row r="6" spans="1:5" x14ac:dyDescent="0.25">
      <c r="A6" t="s">
        <v>171</v>
      </c>
      <c r="B6" s="24">
        <v>0</v>
      </c>
      <c r="D6" s="23" t="s">
        <v>4559</v>
      </c>
      <c r="E6" t="s">
        <v>130</v>
      </c>
    </row>
    <row r="7" spans="1:5" x14ac:dyDescent="0.25">
      <c r="A7" t="s">
        <v>172</v>
      </c>
      <c r="B7" s="24">
        <v>0</v>
      </c>
      <c r="D7" s="23" t="s">
        <v>4560</v>
      </c>
      <c r="E7" t="s">
        <v>130</v>
      </c>
    </row>
    <row r="8" spans="1:5" x14ac:dyDescent="0.25">
      <c r="A8" t="s">
        <v>173</v>
      </c>
      <c r="B8" s="24">
        <v>0</v>
      </c>
      <c r="D8" s="23" t="s">
        <v>4561</v>
      </c>
      <c r="E8" t="s">
        <v>130</v>
      </c>
    </row>
    <row r="9" spans="1:5" x14ac:dyDescent="0.25">
      <c r="A9" t="s">
        <v>174</v>
      </c>
      <c r="B9" s="24">
        <v>0</v>
      </c>
      <c r="D9" s="23" t="s">
        <v>4562</v>
      </c>
      <c r="E9" t="s">
        <v>130</v>
      </c>
    </row>
    <row r="10" spans="1:5" x14ac:dyDescent="0.25">
      <c r="A10" t="s">
        <v>175</v>
      </c>
      <c r="B10" s="24">
        <v>0</v>
      </c>
      <c r="D10" s="23" t="s">
        <v>4563</v>
      </c>
      <c r="E10" t="s">
        <v>130</v>
      </c>
    </row>
    <row r="11" spans="1:5" x14ac:dyDescent="0.25">
      <c r="A11" t="s">
        <v>176</v>
      </c>
      <c r="B11" s="24">
        <v>1</v>
      </c>
      <c r="D11" s="23" t="s">
        <v>4564</v>
      </c>
      <c r="E11" t="s">
        <v>130</v>
      </c>
    </row>
    <row r="12" spans="1:5" x14ac:dyDescent="0.25">
      <c r="A12" t="s">
        <v>177</v>
      </c>
      <c r="B12" s="24">
        <v>1</v>
      </c>
      <c r="D12" s="23" t="s">
        <v>4565</v>
      </c>
      <c r="E12" t="s">
        <v>130</v>
      </c>
    </row>
    <row r="13" spans="1:5" x14ac:dyDescent="0.25">
      <c r="A13" t="s">
        <v>178</v>
      </c>
      <c r="B13" s="24">
        <v>1</v>
      </c>
      <c r="D13" s="23" t="s">
        <v>4566</v>
      </c>
      <c r="E13" t="s">
        <v>130</v>
      </c>
    </row>
    <row r="14" spans="1:5" x14ac:dyDescent="0.25">
      <c r="A14" t="s">
        <v>179</v>
      </c>
      <c r="B14" s="24">
        <v>1</v>
      </c>
      <c r="D14" s="23" t="s">
        <v>4567</v>
      </c>
      <c r="E14" t="s">
        <v>130</v>
      </c>
    </row>
    <row r="15" spans="1:5" x14ac:dyDescent="0.25">
      <c r="A15" t="s">
        <v>180</v>
      </c>
      <c r="B15" s="24">
        <v>1</v>
      </c>
      <c r="D15" s="23" t="s">
        <v>4568</v>
      </c>
      <c r="E15" t="s">
        <v>130</v>
      </c>
    </row>
    <row r="16" spans="1:5" x14ac:dyDescent="0.25">
      <c r="A16" t="s">
        <v>181</v>
      </c>
      <c r="B16" s="24">
        <v>1</v>
      </c>
      <c r="D16" s="23" t="s">
        <v>4569</v>
      </c>
      <c r="E16" t="s">
        <v>130</v>
      </c>
    </row>
    <row r="17" spans="1:5" x14ac:dyDescent="0.25">
      <c r="A17" t="s">
        <v>182</v>
      </c>
      <c r="B17" s="24">
        <v>1</v>
      </c>
      <c r="D17" s="23" t="s">
        <v>4570</v>
      </c>
      <c r="E17" t="s">
        <v>130</v>
      </c>
    </row>
    <row r="18" spans="1:5" x14ac:dyDescent="0.25">
      <c r="A18" t="s">
        <v>183</v>
      </c>
      <c r="B18" s="24">
        <v>1</v>
      </c>
      <c r="D18" s="23" t="s">
        <v>4571</v>
      </c>
      <c r="E18" t="s">
        <v>130</v>
      </c>
    </row>
    <row r="19" spans="1:5" x14ac:dyDescent="0.25">
      <c r="A19" t="s">
        <v>184</v>
      </c>
      <c r="B19" s="24">
        <v>1</v>
      </c>
      <c r="D19" s="23" t="s">
        <v>4572</v>
      </c>
      <c r="E19" t="s">
        <v>130</v>
      </c>
    </row>
    <row r="20" spans="1:5" x14ac:dyDescent="0.25">
      <c r="A20" t="s">
        <v>185</v>
      </c>
      <c r="B20" s="24">
        <v>1</v>
      </c>
      <c r="D20" s="23" t="s">
        <v>4573</v>
      </c>
      <c r="E20" t="s">
        <v>130</v>
      </c>
    </row>
    <row r="21" spans="1:5" x14ac:dyDescent="0.25">
      <c r="A21" t="s">
        <v>186</v>
      </c>
      <c r="B21" s="24">
        <v>1</v>
      </c>
      <c r="D21" s="23" t="s">
        <v>4574</v>
      </c>
      <c r="E21" t="s">
        <v>130</v>
      </c>
    </row>
    <row r="22" spans="1:5" x14ac:dyDescent="0.25">
      <c r="A22" t="s">
        <v>187</v>
      </c>
      <c r="B22" s="24">
        <v>1</v>
      </c>
      <c r="D22" s="23" t="s">
        <v>4575</v>
      </c>
      <c r="E22" t="s">
        <v>130</v>
      </c>
    </row>
    <row r="23" spans="1:5" x14ac:dyDescent="0.25">
      <c r="A23" t="s">
        <v>188</v>
      </c>
      <c r="B23" s="24">
        <v>1</v>
      </c>
      <c r="D23" s="23" t="s">
        <v>4576</v>
      </c>
      <c r="E23" t="s">
        <v>130</v>
      </c>
    </row>
    <row r="24" spans="1:5" x14ac:dyDescent="0.25">
      <c r="A24" t="s">
        <v>189</v>
      </c>
      <c r="B24" s="24">
        <v>1</v>
      </c>
      <c r="D24" s="23" t="s">
        <v>4577</v>
      </c>
      <c r="E24" t="s">
        <v>130</v>
      </c>
    </row>
    <row r="25" spans="1:5" x14ac:dyDescent="0.25">
      <c r="A25" t="s">
        <v>190</v>
      </c>
      <c r="B25" s="24">
        <v>1</v>
      </c>
      <c r="D25" s="23" t="s">
        <v>4578</v>
      </c>
      <c r="E25" t="s">
        <v>130</v>
      </c>
    </row>
    <row r="26" spans="1:5" x14ac:dyDescent="0.25">
      <c r="A26" t="s">
        <v>191</v>
      </c>
      <c r="B26" s="24">
        <v>1</v>
      </c>
      <c r="D26" s="23" t="s">
        <v>4579</v>
      </c>
      <c r="E26" t="s">
        <v>130</v>
      </c>
    </row>
    <row r="27" spans="1:5" x14ac:dyDescent="0.25">
      <c r="A27" t="s">
        <v>192</v>
      </c>
      <c r="B27" s="24">
        <v>1</v>
      </c>
      <c r="D27" s="23" t="s">
        <v>4580</v>
      </c>
      <c r="E27" t="s">
        <v>130</v>
      </c>
    </row>
    <row r="28" spans="1:5" x14ac:dyDescent="0.25">
      <c r="A28" t="s">
        <v>193</v>
      </c>
      <c r="B28" s="24">
        <v>1</v>
      </c>
      <c r="D28" s="23" t="s">
        <v>4581</v>
      </c>
      <c r="E28" t="s">
        <v>130</v>
      </c>
    </row>
    <row r="29" spans="1:5" x14ac:dyDescent="0.25">
      <c r="A29" t="s">
        <v>194</v>
      </c>
      <c r="B29" s="24">
        <v>1</v>
      </c>
      <c r="D29" s="23" t="s">
        <v>4582</v>
      </c>
      <c r="E29" t="s">
        <v>130</v>
      </c>
    </row>
    <row r="30" spans="1:5" x14ac:dyDescent="0.25">
      <c r="A30" t="s">
        <v>195</v>
      </c>
      <c r="B30" s="24">
        <v>1</v>
      </c>
      <c r="D30" s="23" t="s">
        <v>4583</v>
      </c>
      <c r="E30" t="s">
        <v>130</v>
      </c>
    </row>
    <row r="31" spans="1:5" x14ac:dyDescent="0.25">
      <c r="A31" t="s">
        <v>196</v>
      </c>
      <c r="B31" s="24">
        <v>3</v>
      </c>
      <c r="D31" s="23" t="s">
        <v>4584</v>
      </c>
      <c r="E31" t="s">
        <v>130</v>
      </c>
    </row>
    <row r="32" spans="1:5" x14ac:dyDescent="0.25">
      <c r="A32" t="s">
        <v>197</v>
      </c>
      <c r="B32" s="24">
        <v>3</v>
      </c>
      <c r="D32" s="23" t="s">
        <v>4585</v>
      </c>
      <c r="E32" t="s">
        <v>131</v>
      </c>
    </row>
    <row r="33" spans="1:5" x14ac:dyDescent="0.25">
      <c r="A33" t="s">
        <v>198</v>
      </c>
      <c r="B33" s="24">
        <v>3</v>
      </c>
      <c r="D33" s="23" t="s">
        <v>4586</v>
      </c>
      <c r="E33" t="s">
        <v>131</v>
      </c>
    </row>
    <row r="34" spans="1:5" x14ac:dyDescent="0.25">
      <c r="A34" t="s">
        <v>199</v>
      </c>
      <c r="B34" s="24">
        <v>3</v>
      </c>
      <c r="D34" s="23" t="s">
        <v>4587</v>
      </c>
      <c r="E34" t="s">
        <v>131</v>
      </c>
    </row>
    <row r="35" spans="1:5" x14ac:dyDescent="0.25">
      <c r="A35" t="s">
        <v>200</v>
      </c>
      <c r="B35" s="24">
        <v>3</v>
      </c>
      <c r="D35" s="23" t="s">
        <v>4588</v>
      </c>
      <c r="E35" t="s">
        <v>131</v>
      </c>
    </row>
    <row r="36" spans="1:5" x14ac:dyDescent="0.25">
      <c r="A36" t="s">
        <v>201</v>
      </c>
      <c r="B36" s="24">
        <v>3</v>
      </c>
      <c r="D36" s="23" t="s">
        <v>4589</v>
      </c>
      <c r="E36" t="s">
        <v>131</v>
      </c>
    </row>
    <row r="37" spans="1:5" x14ac:dyDescent="0.25">
      <c r="A37" t="s">
        <v>202</v>
      </c>
      <c r="B37" s="24">
        <v>3</v>
      </c>
      <c r="D37" s="23" t="s">
        <v>4590</v>
      </c>
      <c r="E37" t="s">
        <v>131</v>
      </c>
    </row>
    <row r="38" spans="1:5" x14ac:dyDescent="0.25">
      <c r="A38" t="s">
        <v>203</v>
      </c>
      <c r="B38" s="24">
        <v>3</v>
      </c>
      <c r="D38" s="23" t="s">
        <v>4591</v>
      </c>
      <c r="E38" t="s">
        <v>131</v>
      </c>
    </row>
    <row r="39" spans="1:5" x14ac:dyDescent="0.25">
      <c r="A39" t="s">
        <v>204</v>
      </c>
      <c r="B39" s="24">
        <v>3</v>
      </c>
      <c r="D39" s="23" t="s">
        <v>4592</v>
      </c>
      <c r="E39" t="s">
        <v>131</v>
      </c>
    </row>
    <row r="40" spans="1:5" x14ac:dyDescent="0.25">
      <c r="A40" t="s">
        <v>205</v>
      </c>
      <c r="B40" s="24">
        <v>3</v>
      </c>
      <c r="D40" s="23" t="s">
        <v>4593</v>
      </c>
      <c r="E40" t="s">
        <v>131</v>
      </c>
    </row>
    <row r="41" spans="1:5" x14ac:dyDescent="0.25">
      <c r="A41" t="s">
        <v>206</v>
      </c>
      <c r="B41" s="24">
        <v>3</v>
      </c>
      <c r="D41" s="23" t="s">
        <v>4594</v>
      </c>
      <c r="E41" t="s">
        <v>131</v>
      </c>
    </row>
    <row r="42" spans="1:5" x14ac:dyDescent="0.25">
      <c r="A42" t="s">
        <v>207</v>
      </c>
      <c r="B42" s="24">
        <v>3</v>
      </c>
      <c r="D42" s="23" t="s">
        <v>4595</v>
      </c>
      <c r="E42" t="s">
        <v>131</v>
      </c>
    </row>
    <row r="43" spans="1:5" x14ac:dyDescent="0.25">
      <c r="A43" t="s">
        <v>208</v>
      </c>
      <c r="B43" s="24">
        <v>3</v>
      </c>
      <c r="D43" s="23" t="s">
        <v>4596</v>
      </c>
      <c r="E43" t="s">
        <v>131</v>
      </c>
    </row>
    <row r="44" spans="1:5" x14ac:dyDescent="0.25">
      <c r="A44" t="s">
        <v>209</v>
      </c>
      <c r="B44" s="24">
        <v>3</v>
      </c>
      <c r="D44" s="23" t="s">
        <v>4597</v>
      </c>
      <c r="E44" t="s">
        <v>131</v>
      </c>
    </row>
    <row r="45" spans="1:5" x14ac:dyDescent="0.25">
      <c r="A45" t="s">
        <v>210</v>
      </c>
      <c r="B45" s="24">
        <v>3</v>
      </c>
      <c r="D45" s="23" t="s">
        <v>4598</v>
      </c>
      <c r="E45" t="s">
        <v>131</v>
      </c>
    </row>
    <row r="46" spans="1:5" x14ac:dyDescent="0.25">
      <c r="A46" t="s">
        <v>211</v>
      </c>
      <c r="B46" s="24">
        <v>3</v>
      </c>
      <c r="D46" s="23" t="s">
        <v>4599</v>
      </c>
      <c r="E46" t="s">
        <v>131</v>
      </c>
    </row>
    <row r="47" spans="1:5" x14ac:dyDescent="0.25">
      <c r="A47" t="s">
        <v>212</v>
      </c>
      <c r="B47" s="24">
        <v>3</v>
      </c>
      <c r="D47" s="23" t="s">
        <v>4600</v>
      </c>
      <c r="E47" t="s">
        <v>131</v>
      </c>
    </row>
    <row r="48" spans="1:5" x14ac:dyDescent="0.25">
      <c r="A48" t="s">
        <v>213</v>
      </c>
      <c r="B48" s="24">
        <v>3</v>
      </c>
      <c r="D48" s="23" t="s">
        <v>4601</v>
      </c>
      <c r="E48" t="s">
        <v>131</v>
      </c>
    </row>
    <row r="49" spans="1:5" x14ac:dyDescent="0.25">
      <c r="A49" t="s">
        <v>214</v>
      </c>
      <c r="B49" s="24">
        <v>3</v>
      </c>
      <c r="D49" s="23" t="s">
        <v>4602</v>
      </c>
      <c r="E49" t="s">
        <v>131</v>
      </c>
    </row>
    <row r="50" spans="1:5" x14ac:dyDescent="0.25">
      <c r="A50" t="s">
        <v>215</v>
      </c>
      <c r="B50" s="24">
        <v>3</v>
      </c>
      <c r="D50" s="23" t="s">
        <v>4603</v>
      </c>
      <c r="E50" t="s">
        <v>131</v>
      </c>
    </row>
    <row r="51" spans="1:5" x14ac:dyDescent="0.25">
      <c r="A51" t="s">
        <v>216</v>
      </c>
      <c r="B51" s="24">
        <v>5</v>
      </c>
      <c r="D51" s="23" t="s">
        <v>4604</v>
      </c>
      <c r="E51" t="s">
        <v>131</v>
      </c>
    </row>
    <row r="52" spans="1:5" x14ac:dyDescent="0.25">
      <c r="A52" t="s">
        <v>217</v>
      </c>
      <c r="B52" s="24">
        <v>5</v>
      </c>
      <c r="D52" s="23" t="s">
        <v>4605</v>
      </c>
      <c r="E52" t="s">
        <v>131</v>
      </c>
    </row>
    <row r="53" spans="1:5" x14ac:dyDescent="0.25">
      <c r="A53" t="s">
        <v>218</v>
      </c>
      <c r="B53" s="24">
        <v>5</v>
      </c>
      <c r="D53" s="23" t="s">
        <v>4606</v>
      </c>
      <c r="E53" t="s">
        <v>131</v>
      </c>
    </row>
    <row r="54" spans="1:5" x14ac:dyDescent="0.25">
      <c r="A54" t="s">
        <v>219</v>
      </c>
      <c r="B54" s="24">
        <v>5</v>
      </c>
      <c r="D54" s="23" t="s">
        <v>4607</v>
      </c>
      <c r="E54" t="s">
        <v>131</v>
      </c>
    </row>
    <row r="55" spans="1:5" x14ac:dyDescent="0.25">
      <c r="A55" t="s">
        <v>220</v>
      </c>
      <c r="B55" s="24">
        <v>5</v>
      </c>
      <c r="D55" s="23" t="s">
        <v>4608</v>
      </c>
      <c r="E55" t="s">
        <v>131</v>
      </c>
    </row>
    <row r="56" spans="1:5" x14ac:dyDescent="0.25">
      <c r="A56" t="s">
        <v>221</v>
      </c>
      <c r="B56" s="24">
        <v>5</v>
      </c>
      <c r="D56" s="23" t="s">
        <v>4609</v>
      </c>
      <c r="E56" t="s">
        <v>131</v>
      </c>
    </row>
    <row r="57" spans="1:5" x14ac:dyDescent="0.25">
      <c r="A57" t="s">
        <v>222</v>
      </c>
      <c r="B57" s="24">
        <v>5</v>
      </c>
      <c r="D57" s="23" t="s">
        <v>4610</v>
      </c>
      <c r="E57" t="s">
        <v>131</v>
      </c>
    </row>
    <row r="58" spans="1:5" x14ac:dyDescent="0.25">
      <c r="A58" t="s">
        <v>223</v>
      </c>
      <c r="B58" s="24">
        <v>5</v>
      </c>
      <c r="D58" s="23" t="s">
        <v>4611</v>
      </c>
      <c r="E58" t="s">
        <v>131</v>
      </c>
    </row>
    <row r="59" spans="1:5" x14ac:dyDescent="0.25">
      <c r="A59" t="s">
        <v>224</v>
      </c>
      <c r="B59" s="24">
        <v>5</v>
      </c>
      <c r="D59" s="23" t="s">
        <v>4612</v>
      </c>
      <c r="E59" t="s">
        <v>131</v>
      </c>
    </row>
    <row r="60" spans="1:5" x14ac:dyDescent="0.25">
      <c r="A60" t="s">
        <v>225</v>
      </c>
      <c r="B60" s="24">
        <v>5</v>
      </c>
      <c r="D60" s="23" t="s">
        <v>4613</v>
      </c>
      <c r="E60" t="s">
        <v>131</v>
      </c>
    </row>
    <row r="61" spans="1:5" x14ac:dyDescent="0.25">
      <c r="A61" t="s">
        <v>226</v>
      </c>
      <c r="B61" s="24">
        <v>7</v>
      </c>
      <c r="D61" s="23" t="s">
        <v>4614</v>
      </c>
      <c r="E61" t="s">
        <v>131</v>
      </c>
    </row>
    <row r="62" spans="1:5" x14ac:dyDescent="0.25">
      <c r="A62" t="s">
        <v>227</v>
      </c>
      <c r="B62" s="24">
        <v>7</v>
      </c>
      <c r="D62" s="23" t="s">
        <v>4615</v>
      </c>
      <c r="E62" t="s">
        <v>132</v>
      </c>
    </row>
    <row r="63" spans="1:5" x14ac:dyDescent="0.25">
      <c r="A63" t="s">
        <v>228</v>
      </c>
      <c r="B63" s="24">
        <v>7</v>
      </c>
      <c r="D63" s="23" t="s">
        <v>4616</v>
      </c>
      <c r="E63" t="s">
        <v>132</v>
      </c>
    </row>
    <row r="64" spans="1:5" x14ac:dyDescent="0.25">
      <c r="A64" t="s">
        <v>229</v>
      </c>
      <c r="B64" s="24">
        <v>7</v>
      </c>
      <c r="D64" s="23" t="s">
        <v>4617</v>
      </c>
      <c r="E64" t="s">
        <v>132</v>
      </c>
    </row>
    <row r="65" spans="1:5" x14ac:dyDescent="0.25">
      <c r="A65" t="s">
        <v>230</v>
      </c>
      <c r="B65" s="24">
        <v>7</v>
      </c>
      <c r="D65" s="23" t="s">
        <v>4618</v>
      </c>
      <c r="E65" t="s">
        <v>132</v>
      </c>
    </row>
    <row r="66" spans="1:5" x14ac:dyDescent="0.25">
      <c r="A66" t="s">
        <v>231</v>
      </c>
      <c r="B66" s="24">
        <v>7</v>
      </c>
      <c r="D66" s="23" t="s">
        <v>4619</v>
      </c>
      <c r="E66" t="s">
        <v>132</v>
      </c>
    </row>
    <row r="67" spans="1:5" x14ac:dyDescent="0.25">
      <c r="A67" t="s">
        <v>232</v>
      </c>
      <c r="B67" s="24">
        <v>7</v>
      </c>
      <c r="D67" s="23" t="s">
        <v>4620</v>
      </c>
      <c r="E67" t="s">
        <v>132</v>
      </c>
    </row>
    <row r="68" spans="1:5" x14ac:dyDescent="0.25">
      <c r="A68" t="s">
        <v>233</v>
      </c>
      <c r="B68" s="24">
        <v>7</v>
      </c>
      <c r="D68" s="23" t="s">
        <v>4621</v>
      </c>
      <c r="E68" t="s">
        <v>132</v>
      </c>
    </row>
    <row r="69" spans="1:5" x14ac:dyDescent="0.25">
      <c r="A69" t="s">
        <v>234</v>
      </c>
      <c r="B69" s="24">
        <v>7</v>
      </c>
      <c r="D69" s="23" t="s">
        <v>4622</v>
      </c>
      <c r="E69" t="s">
        <v>132</v>
      </c>
    </row>
    <row r="70" spans="1:5" x14ac:dyDescent="0.25">
      <c r="A70" t="s">
        <v>235</v>
      </c>
      <c r="B70" s="24">
        <v>7</v>
      </c>
      <c r="D70" s="23" t="s">
        <v>4623</v>
      </c>
      <c r="E70" t="s">
        <v>132</v>
      </c>
    </row>
    <row r="71" spans="1:5" x14ac:dyDescent="0.25">
      <c r="A71" t="s">
        <v>236</v>
      </c>
      <c r="B71" s="24">
        <v>9</v>
      </c>
      <c r="D71" s="23" t="s">
        <v>4624</v>
      </c>
      <c r="E71" t="s">
        <v>132</v>
      </c>
    </row>
    <row r="72" spans="1:5" x14ac:dyDescent="0.25">
      <c r="A72" t="s">
        <v>237</v>
      </c>
      <c r="B72" s="24">
        <v>9</v>
      </c>
      <c r="D72" s="23" t="s">
        <v>4625</v>
      </c>
      <c r="E72" t="s">
        <v>132</v>
      </c>
    </row>
    <row r="73" spans="1:5" x14ac:dyDescent="0.25">
      <c r="A73" t="s">
        <v>238</v>
      </c>
      <c r="B73" s="24">
        <v>9</v>
      </c>
      <c r="D73" s="23" t="s">
        <v>4626</v>
      </c>
      <c r="E73" t="s">
        <v>132</v>
      </c>
    </row>
    <row r="74" spans="1:5" x14ac:dyDescent="0.25">
      <c r="A74" t="s">
        <v>239</v>
      </c>
      <c r="B74" s="24">
        <v>9</v>
      </c>
      <c r="D74" s="23" t="s">
        <v>4627</v>
      </c>
      <c r="E74" t="s">
        <v>132</v>
      </c>
    </row>
    <row r="75" spans="1:5" x14ac:dyDescent="0.25">
      <c r="A75" t="s">
        <v>240</v>
      </c>
      <c r="B75" s="24">
        <v>9</v>
      </c>
      <c r="D75" s="23" t="s">
        <v>4628</v>
      </c>
      <c r="E75" t="s">
        <v>132</v>
      </c>
    </row>
    <row r="76" spans="1:5" x14ac:dyDescent="0.25">
      <c r="A76" t="s">
        <v>241</v>
      </c>
      <c r="B76" s="24">
        <v>9</v>
      </c>
      <c r="D76" s="23" t="s">
        <v>4629</v>
      </c>
      <c r="E76" t="s">
        <v>132</v>
      </c>
    </row>
    <row r="77" spans="1:5" x14ac:dyDescent="0.25">
      <c r="A77" t="s">
        <v>242</v>
      </c>
      <c r="B77" s="24">
        <v>9</v>
      </c>
      <c r="D77" s="23" t="s">
        <v>4630</v>
      </c>
      <c r="E77" t="s">
        <v>132</v>
      </c>
    </row>
    <row r="78" spans="1:5" x14ac:dyDescent="0.25">
      <c r="A78" t="s">
        <v>243</v>
      </c>
      <c r="B78" s="24">
        <v>9</v>
      </c>
      <c r="D78" s="23" t="s">
        <v>4631</v>
      </c>
      <c r="E78" t="s">
        <v>132</v>
      </c>
    </row>
    <row r="79" spans="1:5" x14ac:dyDescent="0.25">
      <c r="A79" t="s">
        <v>244</v>
      </c>
      <c r="B79" s="24">
        <v>9</v>
      </c>
      <c r="D79" s="23" t="s">
        <v>4632</v>
      </c>
      <c r="E79" t="s">
        <v>132</v>
      </c>
    </row>
    <row r="80" spans="1:5" x14ac:dyDescent="0.25">
      <c r="A80" t="s">
        <v>245</v>
      </c>
      <c r="B80" s="24">
        <v>9</v>
      </c>
      <c r="D80" s="23" t="s">
        <v>4633</v>
      </c>
      <c r="E80" t="s">
        <v>132</v>
      </c>
    </row>
    <row r="81" spans="1:5" x14ac:dyDescent="0.25">
      <c r="A81" t="s">
        <v>246</v>
      </c>
      <c r="B81" s="24">
        <v>11</v>
      </c>
      <c r="D81" s="23" t="s">
        <v>4634</v>
      </c>
      <c r="E81" t="s">
        <v>132</v>
      </c>
    </row>
    <row r="82" spans="1:5" x14ac:dyDescent="0.25">
      <c r="A82" t="s">
        <v>247</v>
      </c>
      <c r="B82" s="24">
        <v>11</v>
      </c>
      <c r="D82" s="23" t="s">
        <v>4635</v>
      </c>
      <c r="E82" t="s">
        <v>133</v>
      </c>
    </row>
    <row r="83" spans="1:5" x14ac:dyDescent="0.25">
      <c r="A83" t="s">
        <v>248</v>
      </c>
      <c r="B83" s="24">
        <v>11</v>
      </c>
      <c r="D83" s="23" t="s">
        <v>4636</v>
      </c>
      <c r="E83" t="s">
        <v>133</v>
      </c>
    </row>
    <row r="84" spans="1:5" x14ac:dyDescent="0.25">
      <c r="A84" t="s">
        <v>249</v>
      </c>
      <c r="B84" s="24">
        <v>11</v>
      </c>
      <c r="D84" s="23" t="s">
        <v>4637</v>
      </c>
      <c r="E84" t="s">
        <v>133</v>
      </c>
    </row>
    <row r="85" spans="1:5" x14ac:dyDescent="0.25">
      <c r="A85" t="s">
        <v>250</v>
      </c>
      <c r="B85" s="24">
        <v>11</v>
      </c>
      <c r="D85" s="23" t="s">
        <v>4638</v>
      </c>
      <c r="E85" t="s">
        <v>133</v>
      </c>
    </row>
    <row r="86" spans="1:5" x14ac:dyDescent="0.25">
      <c r="A86" t="s">
        <v>251</v>
      </c>
      <c r="B86" s="24">
        <v>11</v>
      </c>
      <c r="D86" s="23" t="s">
        <v>4639</v>
      </c>
      <c r="E86" t="s">
        <v>133</v>
      </c>
    </row>
    <row r="87" spans="1:5" x14ac:dyDescent="0.25">
      <c r="A87" t="s">
        <v>252</v>
      </c>
      <c r="B87" s="24">
        <v>11</v>
      </c>
      <c r="D87" s="23" t="s">
        <v>4640</v>
      </c>
      <c r="E87" t="s">
        <v>133</v>
      </c>
    </row>
    <row r="88" spans="1:5" x14ac:dyDescent="0.25">
      <c r="A88" t="s">
        <v>253</v>
      </c>
      <c r="B88" s="24">
        <v>11</v>
      </c>
      <c r="D88" s="23" t="s">
        <v>4641</v>
      </c>
      <c r="E88" t="s">
        <v>133</v>
      </c>
    </row>
    <row r="89" spans="1:5" x14ac:dyDescent="0.25">
      <c r="A89" t="s">
        <v>254</v>
      </c>
      <c r="B89" s="24">
        <v>11</v>
      </c>
      <c r="D89" s="23" t="s">
        <v>4642</v>
      </c>
      <c r="E89" t="s">
        <v>133</v>
      </c>
    </row>
    <row r="90" spans="1:5" x14ac:dyDescent="0.25">
      <c r="A90" t="s">
        <v>255</v>
      </c>
      <c r="B90" s="24">
        <v>11</v>
      </c>
      <c r="D90" s="23" t="s">
        <v>4643</v>
      </c>
      <c r="E90" t="s">
        <v>133</v>
      </c>
    </row>
    <row r="91" spans="1:5" x14ac:dyDescent="0.25">
      <c r="A91" t="s">
        <v>256</v>
      </c>
      <c r="B91" s="24">
        <v>13</v>
      </c>
      <c r="D91" s="23" t="s">
        <v>4644</v>
      </c>
      <c r="E91" t="s">
        <v>133</v>
      </c>
    </row>
    <row r="92" spans="1:5" x14ac:dyDescent="0.25">
      <c r="A92" t="s">
        <v>257</v>
      </c>
      <c r="B92" s="24">
        <v>13</v>
      </c>
      <c r="D92" s="23" t="s">
        <v>4645</v>
      </c>
      <c r="E92" t="s">
        <v>133</v>
      </c>
    </row>
    <row r="93" spans="1:5" x14ac:dyDescent="0.25">
      <c r="A93" t="s">
        <v>258</v>
      </c>
      <c r="B93" s="24">
        <v>13</v>
      </c>
      <c r="D93" s="23" t="s">
        <v>4646</v>
      </c>
      <c r="E93" t="s">
        <v>133</v>
      </c>
    </row>
    <row r="94" spans="1:5" x14ac:dyDescent="0.25">
      <c r="A94" t="s">
        <v>259</v>
      </c>
      <c r="B94" s="24">
        <v>13</v>
      </c>
      <c r="D94" s="23" t="s">
        <v>4647</v>
      </c>
      <c r="E94" t="s">
        <v>133</v>
      </c>
    </row>
    <row r="95" spans="1:5" x14ac:dyDescent="0.25">
      <c r="A95" t="s">
        <v>260</v>
      </c>
      <c r="B95" s="24">
        <v>13</v>
      </c>
      <c r="D95" s="23" t="s">
        <v>4648</v>
      </c>
      <c r="E95" t="s">
        <v>133</v>
      </c>
    </row>
    <row r="96" spans="1:5" x14ac:dyDescent="0.25">
      <c r="A96" t="s">
        <v>261</v>
      </c>
      <c r="B96" s="24">
        <v>13</v>
      </c>
      <c r="D96" s="23" t="s">
        <v>4649</v>
      </c>
      <c r="E96" t="s">
        <v>133</v>
      </c>
    </row>
    <row r="97" spans="1:5" x14ac:dyDescent="0.25">
      <c r="A97" t="s">
        <v>262</v>
      </c>
      <c r="B97" s="24">
        <v>13</v>
      </c>
      <c r="D97" s="23" t="s">
        <v>4650</v>
      </c>
      <c r="E97" t="s">
        <v>133</v>
      </c>
    </row>
    <row r="98" spans="1:5" x14ac:dyDescent="0.25">
      <c r="A98" t="s">
        <v>263</v>
      </c>
      <c r="B98" s="24">
        <v>13</v>
      </c>
      <c r="D98" s="23" t="s">
        <v>4651</v>
      </c>
      <c r="E98" t="s">
        <v>133</v>
      </c>
    </row>
    <row r="99" spans="1:5" x14ac:dyDescent="0.25">
      <c r="A99" t="s">
        <v>264</v>
      </c>
      <c r="B99" s="24">
        <v>13</v>
      </c>
      <c r="D99" s="23" t="s">
        <v>4652</v>
      </c>
      <c r="E99" t="s">
        <v>133</v>
      </c>
    </row>
    <row r="100" spans="1:5" x14ac:dyDescent="0.25">
      <c r="A100" t="s">
        <v>265</v>
      </c>
      <c r="B100" s="24">
        <v>13</v>
      </c>
      <c r="D100" s="23" t="s">
        <v>4653</v>
      </c>
      <c r="E100" t="s">
        <v>133</v>
      </c>
    </row>
    <row r="101" spans="1:5" x14ac:dyDescent="0.25">
      <c r="A101" t="s">
        <v>266</v>
      </c>
      <c r="B101" s="24">
        <v>15</v>
      </c>
      <c r="D101" s="23" t="s">
        <v>4654</v>
      </c>
      <c r="E101" t="s">
        <v>133</v>
      </c>
    </row>
    <row r="102" spans="1:5" x14ac:dyDescent="0.25">
      <c r="A102" t="s">
        <v>267</v>
      </c>
      <c r="B102" s="24">
        <v>15</v>
      </c>
      <c r="D102" s="23" t="s">
        <v>4655</v>
      </c>
      <c r="E102" t="s">
        <v>134</v>
      </c>
    </row>
    <row r="103" spans="1:5" x14ac:dyDescent="0.25">
      <c r="A103" t="s">
        <v>268</v>
      </c>
      <c r="B103" s="24">
        <v>15</v>
      </c>
      <c r="D103" s="23" t="s">
        <v>4656</v>
      </c>
      <c r="E103" t="s">
        <v>134</v>
      </c>
    </row>
    <row r="104" spans="1:5" x14ac:dyDescent="0.25">
      <c r="A104" t="s">
        <v>269</v>
      </c>
      <c r="B104" s="24">
        <v>15</v>
      </c>
      <c r="D104" s="23" t="s">
        <v>4657</v>
      </c>
      <c r="E104" t="s">
        <v>134</v>
      </c>
    </row>
    <row r="105" spans="1:5" x14ac:dyDescent="0.25">
      <c r="A105" t="s">
        <v>270</v>
      </c>
      <c r="B105" s="24">
        <v>15</v>
      </c>
      <c r="D105" s="23" t="s">
        <v>4658</v>
      </c>
      <c r="E105" t="s">
        <v>134</v>
      </c>
    </row>
    <row r="106" spans="1:5" x14ac:dyDescent="0.25">
      <c r="A106" t="s">
        <v>271</v>
      </c>
      <c r="B106" s="24">
        <v>15</v>
      </c>
      <c r="D106" s="23" t="s">
        <v>4659</v>
      </c>
      <c r="E106" t="s">
        <v>134</v>
      </c>
    </row>
    <row r="107" spans="1:5" x14ac:dyDescent="0.25">
      <c r="A107" t="s">
        <v>272</v>
      </c>
      <c r="B107" s="24">
        <v>15</v>
      </c>
      <c r="D107" s="23" t="s">
        <v>4660</v>
      </c>
      <c r="E107" t="s">
        <v>134</v>
      </c>
    </row>
    <row r="108" spans="1:5" x14ac:dyDescent="0.25">
      <c r="A108" t="s">
        <v>273</v>
      </c>
      <c r="B108" s="24">
        <v>15</v>
      </c>
      <c r="D108" s="23" t="s">
        <v>4661</v>
      </c>
      <c r="E108" t="s">
        <v>134</v>
      </c>
    </row>
    <row r="109" spans="1:5" x14ac:dyDescent="0.25">
      <c r="A109" t="s">
        <v>274</v>
      </c>
      <c r="B109" s="24">
        <v>15</v>
      </c>
      <c r="D109" s="23" t="s">
        <v>4662</v>
      </c>
      <c r="E109" t="s">
        <v>134</v>
      </c>
    </row>
    <row r="110" spans="1:5" x14ac:dyDescent="0.25">
      <c r="A110" t="s">
        <v>275</v>
      </c>
      <c r="B110" s="24">
        <v>15</v>
      </c>
      <c r="D110" s="23" t="s">
        <v>4663</v>
      </c>
      <c r="E110" t="s">
        <v>134</v>
      </c>
    </row>
    <row r="111" spans="1:5" x14ac:dyDescent="0.25">
      <c r="A111" t="s">
        <v>276</v>
      </c>
      <c r="B111" s="24">
        <v>17</v>
      </c>
      <c r="D111" s="23" t="s">
        <v>4664</v>
      </c>
      <c r="E111" t="s">
        <v>134</v>
      </c>
    </row>
    <row r="112" spans="1:5" x14ac:dyDescent="0.25">
      <c r="A112" t="s">
        <v>277</v>
      </c>
      <c r="B112" s="24">
        <v>17</v>
      </c>
      <c r="D112" s="23" t="s">
        <v>4665</v>
      </c>
      <c r="E112" t="s">
        <v>134</v>
      </c>
    </row>
    <row r="113" spans="1:5" x14ac:dyDescent="0.25">
      <c r="A113" t="s">
        <v>278</v>
      </c>
      <c r="B113" s="24">
        <v>17</v>
      </c>
      <c r="D113" s="23" t="s">
        <v>4666</v>
      </c>
      <c r="E113" t="s">
        <v>134</v>
      </c>
    </row>
    <row r="114" spans="1:5" x14ac:dyDescent="0.25">
      <c r="A114" t="s">
        <v>279</v>
      </c>
      <c r="B114" s="24">
        <v>17</v>
      </c>
      <c r="D114" s="23" t="s">
        <v>4667</v>
      </c>
      <c r="E114" t="s">
        <v>134</v>
      </c>
    </row>
    <row r="115" spans="1:5" x14ac:dyDescent="0.25">
      <c r="A115" t="s">
        <v>280</v>
      </c>
      <c r="B115" s="24">
        <v>17</v>
      </c>
      <c r="D115" s="23" t="s">
        <v>4668</v>
      </c>
      <c r="E115" t="s">
        <v>134</v>
      </c>
    </row>
    <row r="116" spans="1:5" x14ac:dyDescent="0.25">
      <c r="A116" t="s">
        <v>281</v>
      </c>
      <c r="B116" s="24">
        <v>17</v>
      </c>
      <c r="D116" s="23" t="s">
        <v>4669</v>
      </c>
      <c r="E116" t="s">
        <v>134</v>
      </c>
    </row>
    <row r="117" spans="1:5" x14ac:dyDescent="0.25">
      <c r="A117" t="s">
        <v>282</v>
      </c>
      <c r="B117" s="24">
        <v>17</v>
      </c>
      <c r="D117" s="23" t="s">
        <v>4670</v>
      </c>
      <c r="E117" t="s">
        <v>135</v>
      </c>
    </row>
    <row r="118" spans="1:5" x14ac:dyDescent="0.25">
      <c r="A118" t="s">
        <v>283</v>
      </c>
      <c r="B118" s="24">
        <v>17</v>
      </c>
      <c r="D118" s="23" t="s">
        <v>4671</v>
      </c>
      <c r="E118" t="s">
        <v>135</v>
      </c>
    </row>
    <row r="119" spans="1:5" x14ac:dyDescent="0.25">
      <c r="A119" t="s">
        <v>284</v>
      </c>
      <c r="B119" s="24">
        <v>17</v>
      </c>
      <c r="D119" s="23" t="s">
        <v>4672</v>
      </c>
      <c r="E119" t="s">
        <v>135</v>
      </c>
    </row>
    <row r="120" spans="1:5" x14ac:dyDescent="0.25">
      <c r="A120" t="s">
        <v>285</v>
      </c>
      <c r="B120" s="24">
        <v>17</v>
      </c>
      <c r="D120" s="23" t="s">
        <v>4673</v>
      </c>
      <c r="E120" t="s">
        <v>135</v>
      </c>
    </row>
    <row r="121" spans="1:5" x14ac:dyDescent="0.25">
      <c r="A121" t="s">
        <v>286</v>
      </c>
      <c r="B121" s="24">
        <v>19</v>
      </c>
      <c r="D121" s="23" t="s">
        <v>4674</v>
      </c>
      <c r="E121" t="s">
        <v>135</v>
      </c>
    </row>
    <row r="122" spans="1:5" x14ac:dyDescent="0.25">
      <c r="A122" t="s">
        <v>287</v>
      </c>
      <c r="B122" s="24">
        <v>19</v>
      </c>
      <c r="D122" s="23" t="s">
        <v>4675</v>
      </c>
      <c r="E122" t="s">
        <v>135</v>
      </c>
    </row>
    <row r="123" spans="1:5" x14ac:dyDescent="0.25">
      <c r="A123" t="s">
        <v>288</v>
      </c>
      <c r="B123" s="24">
        <v>19</v>
      </c>
      <c r="D123" s="23" t="s">
        <v>4676</v>
      </c>
      <c r="E123" t="s">
        <v>135</v>
      </c>
    </row>
    <row r="124" spans="1:5" x14ac:dyDescent="0.25">
      <c r="A124" t="s">
        <v>289</v>
      </c>
      <c r="B124" s="24">
        <v>19</v>
      </c>
      <c r="D124" s="23" t="s">
        <v>4677</v>
      </c>
      <c r="E124" t="s">
        <v>135</v>
      </c>
    </row>
    <row r="125" spans="1:5" x14ac:dyDescent="0.25">
      <c r="A125" t="s">
        <v>290</v>
      </c>
      <c r="B125" s="24">
        <v>19</v>
      </c>
      <c r="D125" s="23" t="s">
        <v>4678</v>
      </c>
      <c r="E125" t="s">
        <v>135</v>
      </c>
    </row>
    <row r="126" spans="1:5" x14ac:dyDescent="0.25">
      <c r="A126" t="s">
        <v>291</v>
      </c>
      <c r="B126" s="24">
        <v>19</v>
      </c>
      <c r="D126" s="23" t="s">
        <v>4679</v>
      </c>
      <c r="E126" t="s">
        <v>135</v>
      </c>
    </row>
    <row r="127" spans="1:5" x14ac:dyDescent="0.25">
      <c r="A127" t="s">
        <v>292</v>
      </c>
      <c r="B127" s="24">
        <v>19</v>
      </c>
      <c r="D127" s="23" t="s">
        <v>4680</v>
      </c>
      <c r="E127" t="s">
        <v>135</v>
      </c>
    </row>
    <row r="128" spans="1:5" x14ac:dyDescent="0.25">
      <c r="A128" t="s">
        <v>293</v>
      </c>
      <c r="B128" s="24">
        <v>19</v>
      </c>
      <c r="D128" s="23" t="s">
        <v>4681</v>
      </c>
      <c r="E128" t="s">
        <v>135</v>
      </c>
    </row>
    <row r="129" spans="1:5" x14ac:dyDescent="0.25">
      <c r="A129" t="s">
        <v>294</v>
      </c>
      <c r="B129" s="24">
        <v>19</v>
      </c>
      <c r="D129" s="23" t="s">
        <v>4682</v>
      </c>
      <c r="E129" t="s">
        <v>135</v>
      </c>
    </row>
    <row r="130" spans="1:5" x14ac:dyDescent="0.25">
      <c r="A130" t="s">
        <v>295</v>
      </c>
      <c r="B130" s="24">
        <v>19</v>
      </c>
      <c r="D130" s="23" t="s">
        <v>4683</v>
      </c>
      <c r="E130" t="s">
        <v>135</v>
      </c>
    </row>
    <row r="131" spans="1:5" x14ac:dyDescent="0.25">
      <c r="A131" t="s">
        <v>296</v>
      </c>
      <c r="B131" s="24">
        <v>21</v>
      </c>
      <c r="D131" s="23" t="s">
        <v>4684</v>
      </c>
      <c r="E131" t="s">
        <v>135</v>
      </c>
    </row>
    <row r="132" spans="1:5" x14ac:dyDescent="0.25">
      <c r="A132" t="s">
        <v>297</v>
      </c>
      <c r="B132" s="24">
        <v>21</v>
      </c>
      <c r="D132" s="23" t="s">
        <v>4685</v>
      </c>
      <c r="E132" t="s">
        <v>136</v>
      </c>
    </row>
    <row r="133" spans="1:5" x14ac:dyDescent="0.25">
      <c r="A133" t="s">
        <v>298</v>
      </c>
      <c r="B133" s="24">
        <v>21</v>
      </c>
      <c r="D133" s="23" t="s">
        <v>4686</v>
      </c>
      <c r="E133" t="s">
        <v>136</v>
      </c>
    </row>
    <row r="134" spans="1:5" x14ac:dyDescent="0.25">
      <c r="A134" t="s">
        <v>299</v>
      </c>
      <c r="B134" s="24">
        <v>21</v>
      </c>
      <c r="D134" s="23" t="s">
        <v>4687</v>
      </c>
      <c r="E134" t="s">
        <v>136</v>
      </c>
    </row>
    <row r="135" spans="1:5" x14ac:dyDescent="0.25">
      <c r="A135" t="s">
        <v>300</v>
      </c>
      <c r="B135" s="24">
        <v>21</v>
      </c>
      <c r="D135" s="23" t="s">
        <v>4688</v>
      </c>
      <c r="E135" t="s">
        <v>136</v>
      </c>
    </row>
    <row r="136" spans="1:5" x14ac:dyDescent="0.25">
      <c r="A136" t="s">
        <v>301</v>
      </c>
      <c r="B136" s="24">
        <v>21</v>
      </c>
      <c r="D136" s="23" t="s">
        <v>4689</v>
      </c>
      <c r="E136" t="s">
        <v>136</v>
      </c>
    </row>
    <row r="137" spans="1:5" x14ac:dyDescent="0.25">
      <c r="A137" t="s">
        <v>302</v>
      </c>
      <c r="B137" s="24">
        <v>21</v>
      </c>
      <c r="D137" s="23" t="s">
        <v>4690</v>
      </c>
      <c r="E137" t="s">
        <v>136</v>
      </c>
    </row>
    <row r="138" spans="1:5" x14ac:dyDescent="0.25">
      <c r="A138" t="s">
        <v>303</v>
      </c>
      <c r="B138" s="24">
        <v>21</v>
      </c>
      <c r="D138" s="23" t="s">
        <v>4691</v>
      </c>
      <c r="E138" t="s">
        <v>136</v>
      </c>
    </row>
    <row r="139" spans="1:5" x14ac:dyDescent="0.25">
      <c r="A139" t="s">
        <v>304</v>
      </c>
      <c r="B139" s="24">
        <v>21</v>
      </c>
      <c r="D139" s="23" t="s">
        <v>4692</v>
      </c>
      <c r="E139" t="s">
        <v>136</v>
      </c>
    </row>
    <row r="140" spans="1:5" x14ac:dyDescent="0.25">
      <c r="A140" t="s">
        <v>305</v>
      </c>
      <c r="B140" s="24">
        <v>21</v>
      </c>
      <c r="D140" s="23" t="s">
        <v>4693</v>
      </c>
      <c r="E140" t="s">
        <v>136</v>
      </c>
    </row>
    <row r="141" spans="1:5" x14ac:dyDescent="0.25">
      <c r="A141" t="s">
        <v>306</v>
      </c>
      <c r="B141" s="24">
        <v>23</v>
      </c>
      <c r="D141" s="23" t="s">
        <v>4694</v>
      </c>
      <c r="E141" t="s">
        <v>136</v>
      </c>
    </row>
    <row r="142" spans="1:5" x14ac:dyDescent="0.25">
      <c r="A142" t="s">
        <v>307</v>
      </c>
      <c r="B142" s="24">
        <v>23</v>
      </c>
      <c r="D142" s="23" t="s">
        <v>4695</v>
      </c>
      <c r="E142" t="s">
        <v>136</v>
      </c>
    </row>
    <row r="143" spans="1:5" x14ac:dyDescent="0.25">
      <c r="A143" t="s">
        <v>308</v>
      </c>
      <c r="B143" s="24">
        <v>23</v>
      </c>
      <c r="D143" s="23" t="s">
        <v>4696</v>
      </c>
      <c r="E143" t="s">
        <v>136</v>
      </c>
    </row>
    <row r="144" spans="1:5" x14ac:dyDescent="0.25">
      <c r="A144" t="s">
        <v>309</v>
      </c>
      <c r="B144" s="24">
        <v>23</v>
      </c>
      <c r="D144" s="23" t="s">
        <v>4697</v>
      </c>
      <c r="E144" t="s">
        <v>136</v>
      </c>
    </row>
    <row r="145" spans="1:5" x14ac:dyDescent="0.25">
      <c r="A145" t="s">
        <v>310</v>
      </c>
      <c r="B145" s="24">
        <v>23</v>
      </c>
      <c r="D145" s="23" t="s">
        <v>4698</v>
      </c>
      <c r="E145" t="s">
        <v>136</v>
      </c>
    </row>
    <row r="146" spans="1:5" x14ac:dyDescent="0.25">
      <c r="A146" t="s">
        <v>311</v>
      </c>
      <c r="B146" s="24">
        <v>23</v>
      </c>
      <c r="D146" s="23" t="s">
        <v>4699</v>
      </c>
      <c r="E146" t="s">
        <v>136</v>
      </c>
    </row>
    <row r="147" spans="1:5" x14ac:dyDescent="0.25">
      <c r="A147" t="s">
        <v>312</v>
      </c>
      <c r="B147" s="24">
        <v>23</v>
      </c>
      <c r="D147" s="23" t="s">
        <v>4700</v>
      </c>
      <c r="E147" t="s">
        <v>137</v>
      </c>
    </row>
    <row r="148" spans="1:5" x14ac:dyDescent="0.25">
      <c r="A148" t="s">
        <v>313</v>
      </c>
      <c r="B148" s="24">
        <v>23</v>
      </c>
      <c r="D148" s="23" t="s">
        <v>4701</v>
      </c>
      <c r="E148" t="s">
        <v>137</v>
      </c>
    </row>
    <row r="149" spans="1:5" x14ac:dyDescent="0.25">
      <c r="A149" t="s">
        <v>314</v>
      </c>
      <c r="B149" s="24">
        <v>23</v>
      </c>
      <c r="D149" s="23" t="s">
        <v>4702</v>
      </c>
      <c r="E149" t="s">
        <v>137</v>
      </c>
    </row>
    <row r="150" spans="1:5" x14ac:dyDescent="0.25">
      <c r="A150" t="s">
        <v>315</v>
      </c>
      <c r="B150" s="24">
        <v>23</v>
      </c>
      <c r="D150" s="23" t="s">
        <v>4703</v>
      </c>
      <c r="E150" t="s">
        <v>137</v>
      </c>
    </row>
    <row r="151" spans="1:5" x14ac:dyDescent="0.25">
      <c r="A151" t="s">
        <v>316</v>
      </c>
      <c r="B151" s="24">
        <v>25</v>
      </c>
      <c r="D151" s="23" t="s">
        <v>4704</v>
      </c>
      <c r="E151" t="s">
        <v>137</v>
      </c>
    </row>
    <row r="152" spans="1:5" x14ac:dyDescent="0.25">
      <c r="A152" t="s">
        <v>317</v>
      </c>
      <c r="B152" s="24">
        <v>25</v>
      </c>
      <c r="D152" s="23" t="s">
        <v>4705</v>
      </c>
      <c r="E152" t="s">
        <v>137</v>
      </c>
    </row>
    <row r="153" spans="1:5" x14ac:dyDescent="0.25">
      <c r="A153" t="s">
        <v>318</v>
      </c>
      <c r="B153" s="24">
        <v>25</v>
      </c>
      <c r="D153" s="23" t="s">
        <v>4706</v>
      </c>
      <c r="E153" t="s">
        <v>137</v>
      </c>
    </row>
    <row r="154" spans="1:5" x14ac:dyDescent="0.25">
      <c r="A154" t="s">
        <v>319</v>
      </c>
      <c r="B154" s="24">
        <v>25</v>
      </c>
      <c r="D154" s="23" t="s">
        <v>4707</v>
      </c>
      <c r="E154" t="s">
        <v>137</v>
      </c>
    </row>
    <row r="155" spans="1:5" x14ac:dyDescent="0.25">
      <c r="A155" t="s">
        <v>320</v>
      </c>
      <c r="B155" s="24">
        <v>25</v>
      </c>
      <c r="D155" s="23" t="s">
        <v>4708</v>
      </c>
      <c r="E155" t="s">
        <v>137</v>
      </c>
    </row>
    <row r="156" spans="1:5" x14ac:dyDescent="0.25">
      <c r="A156" t="s">
        <v>321</v>
      </c>
      <c r="B156" s="24">
        <v>25</v>
      </c>
      <c r="D156" s="23" t="s">
        <v>4709</v>
      </c>
      <c r="E156" t="s">
        <v>137</v>
      </c>
    </row>
    <row r="157" spans="1:5" x14ac:dyDescent="0.25">
      <c r="A157" t="s">
        <v>322</v>
      </c>
      <c r="B157" s="24">
        <v>25</v>
      </c>
      <c r="D157" s="23" t="s">
        <v>4710</v>
      </c>
      <c r="E157" t="s">
        <v>137</v>
      </c>
    </row>
    <row r="158" spans="1:5" x14ac:dyDescent="0.25">
      <c r="A158" t="s">
        <v>323</v>
      </c>
      <c r="B158" s="24">
        <v>25</v>
      </c>
      <c r="D158" s="23" t="s">
        <v>4711</v>
      </c>
      <c r="E158" t="s">
        <v>137</v>
      </c>
    </row>
    <row r="159" spans="1:5" x14ac:dyDescent="0.25">
      <c r="A159" t="s">
        <v>324</v>
      </c>
      <c r="B159" s="24">
        <v>25</v>
      </c>
      <c r="D159" s="23" t="s">
        <v>4712</v>
      </c>
      <c r="E159" t="s">
        <v>137</v>
      </c>
    </row>
    <row r="160" spans="1:5" x14ac:dyDescent="0.25">
      <c r="A160" t="s">
        <v>325</v>
      </c>
      <c r="B160" s="24">
        <v>25</v>
      </c>
      <c r="D160" s="23" t="s">
        <v>4713</v>
      </c>
      <c r="E160" t="s">
        <v>137</v>
      </c>
    </row>
    <row r="161" spans="1:5" x14ac:dyDescent="0.25">
      <c r="A161" t="s">
        <v>326</v>
      </c>
      <c r="B161" s="24">
        <v>28</v>
      </c>
      <c r="D161" s="23" t="s">
        <v>4714</v>
      </c>
      <c r="E161" t="s">
        <v>137</v>
      </c>
    </row>
    <row r="162" spans="1:5" x14ac:dyDescent="0.25">
      <c r="A162" t="s">
        <v>327</v>
      </c>
      <c r="B162" s="24">
        <v>28</v>
      </c>
      <c r="D162" s="23" t="s">
        <v>4715</v>
      </c>
      <c r="E162" t="s">
        <v>138</v>
      </c>
    </row>
    <row r="163" spans="1:5" x14ac:dyDescent="0.25">
      <c r="A163" t="s">
        <v>328</v>
      </c>
      <c r="B163" s="24">
        <v>28</v>
      </c>
      <c r="D163" s="23" t="s">
        <v>4716</v>
      </c>
      <c r="E163" t="s">
        <v>138</v>
      </c>
    </row>
    <row r="164" spans="1:5" x14ac:dyDescent="0.25">
      <c r="A164" t="s">
        <v>329</v>
      </c>
      <c r="B164" s="24">
        <v>28</v>
      </c>
      <c r="D164" s="23" t="s">
        <v>4717</v>
      </c>
      <c r="E164" t="s">
        <v>138</v>
      </c>
    </row>
    <row r="165" spans="1:5" x14ac:dyDescent="0.25">
      <c r="A165" t="s">
        <v>330</v>
      </c>
      <c r="B165" s="24">
        <v>28</v>
      </c>
      <c r="D165" s="23" t="s">
        <v>4718</v>
      </c>
      <c r="E165" t="s">
        <v>138</v>
      </c>
    </row>
    <row r="166" spans="1:5" x14ac:dyDescent="0.25">
      <c r="A166" t="s">
        <v>331</v>
      </c>
      <c r="B166" s="24">
        <v>28</v>
      </c>
      <c r="D166" s="23" t="s">
        <v>4719</v>
      </c>
      <c r="E166" t="s">
        <v>138</v>
      </c>
    </row>
    <row r="167" spans="1:5" x14ac:dyDescent="0.25">
      <c r="A167" t="s">
        <v>332</v>
      </c>
      <c r="B167" s="24">
        <v>28</v>
      </c>
      <c r="D167" s="23" t="s">
        <v>4720</v>
      </c>
      <c r="E167" t="s">
        <v>138</v>
      </c>
    </row>
    <row r="168" spans="1:5" x14ac:dyDescent="0.25">
      <c r="A168" t="s">
        <v>333</v>
      </c>
      <c r="B168" s="24">
        <v>28</v>
      </c>
      <c r="D168" s="23" t="s">
        <v>4721</v>
      </c>
      <c r="E168" t="s">
        <v>138</v>
      </c>
    </row>
    <row r="169" spans="1:5" x14ac:dyDescent="0.25">
      <c r="A169" t="s">
        <v>334</v>
      </c>
      <c r="B169" s="24">
        <v>28</v>
      </c>
      <c r="D169" s="23" t="s">
        <v>4722</v>
      </c>
      <c r="E169" t="s">
        <v>138</v>
      </c>
    </row>
    <row r="170" spans="1:5" x14ac:dyDescent="0.25">
      <c r="A170" t="s">
        <v>335</v>
      </c>
      <c r="B170" s="24">
        <v>28</v>
      </c>
      <c r="D170" s="23" t="s">
        <v>4723</v>
      </c>
      <c r="E170" t="s">
        <v>138</v>
      </c>
    </row>
    <row r="171" spans="1:5" x14ac:dyDescent="0.25">
      <c r="A171" t="s">
        <v>336</v>
      </c>
      <c r="B171" s="24">
        <v>31</v>
      </c>
      <c r="D171" s="23" t="s">
        <v>4724</v>
      </c>
      <c r="E171" t="s">
        <v>138</v>
      </c>
    </row>
    <row r="172" spans="1:5" x14ac:dyDescent="0.25">
      <c r="A172" t="s">
        <v>337</v>
      </c>
      <c r="B172" s="24">
        <v>31</v>
      </c>
      <c r="D172" s="23" t="s">
        <v>4725</v>
      </c>
      <c r="E172" t="s">
        <v>139</v>
      </c>
    </row>
    <row r="173" spans="1:5" x14ac:dyDescent="0.25">
      <c r="A173" t="s">
        <v>338</v>
      </c>
      <c r="B173" s="24">
        <v>31</v>
      </c>
      <c r="D173" s="23" t="s">
        <v>4726</v>
      </c>
      <c r="E173" t="s">
        <v>139</v>
      </c>
    </row>
    <row r="174" spans="1:5" x14ac:dyDescent="0.25">
      <c r="A174" t="s">
        <v>339</v>
      </c>
      <c r="B174" s="24">
        <v>31</v>
      </c>
      <c r="D174" s="23" t="s">
        <v>4727</v>
      </c>
      <c r="E174" t="s">
        <v>139</v>
      </c>
    </row>
    <row r="175" spans="1:5" x14ac:dyDescent="0.25">
      <c r="A175" t="s">
        <v>340</v>
      </c>
      <c r="B175" s="24">
        <v>31</v>
      </c>
      <c r="D175" s="23" t="s">
        <v>4728</v>
      </c>
      <c r="E175" t="s">
        <v>139</v>
      </c>
    </row>
    <row r="176" spans="1:5" x14ac:dyDescent="0.25">
      <c r="A176" t="s">
        <v>341</v>
      </c>
      <c r="B176" s="24">
        <v>31</v>
      </c>
      <c r="D176" s="23" t="s">
        <v>4729</v>
      </c>
      <c r="E176" t="s">
        <v>139</v>
      </c>
    </row>
    <row r="177" spans="1:5" x14ac:dyDescent="0.25">
      <c r="A177" t="s">
        <v>342</v>
      </c>
      <c r="B177" s="24">
        <v>31</v>
      </c>
      <c r="D177" s="23" t="s">
        <v>4730</v>
      </c>
      <c r="E177" t="s">
        <v>139</v>
      </c>
    </row>
    <row r="178" spans="1:5" x14ac:dyDescent="0.25">
      <c r="A178" t="s">
        <v>343</v>
      </c>
      <c r="B178" s="24">
        <v>31</v>
      </c>
      <c r="D178" s="23" t="s">
        <v>4731</v>
      </c>
      <c r="E178" t="s">
        <v>139</v>
      </c>
    </row>
    <row r="179" spans="1:5" x14ac:dyDescent="0.25">
      <c r="A179" t="s">
        <v>344</v>
      </c>
      <c r="B179" s="24">
        <v>31</v>
      </c>
      <c r="D179" s="23" t="s">
        <v>4732</v>
      </c>
      <c r="E179" t="s">
        <v>139</v>
      </c>
    </row>
    <row r="180" spans="1:5" x14ac:dyDescent="0.25">
      <c r="A180" t="s">
        <v>345</v>
      </c>
      <c r="B180" s="24">
        <v>31</v>
      </c>
      <c r="D180" s="23" t="s">
        <v>4733</v>
      </c>
      <c r="E180" t="s">
        <v>139</v>
      </c>
    </row>
    <row r="181" spans="1:5" x14ac:dyDescent="0.25">
      <c r="A181" t="s">
        <v>346</v>
      </c>
      <c r="B181" s="24">
        <v>34</v>
      </c>
      <c r="D181" s="23" t="s">
        <v>4734</v>
      </c>
      <c r="E181" t="s">
        <v>139</v>
      </c>
    </row>
    <row r="182" spans="1:5" x14ac:dyDescent="0.25">
      <c r="A182" t="s">
        <v>347</v>
      </c>
      <c r="B182" s="24">
        <v>34</v>
      </c>
      <c r="D182" s="23" t="s">
        <v>4735</v>
      </c>
      <c r="E182" t="s">
        <v>18</v>
      </c>
    </row>
    <row r="183" spans="1:5" x14ac:dyDescent="0.25">
      <c r="A183" t="s">
        <v>348</v>
      </c>
      <c r="B183" s="24">
        <v>34</v>
      </c>
      <c r="D183" s="23" t="s">
        <v>4736</v>
      </c>
      <c r="E183" t="s">
        <v>18</v>
      </c>
    </row>
    <row r="184" spans="1:5" x14ac:dyDescent="0.25">
      <c r="A184" t="s">
        <v>349</v>
      </c>
      <c r="B184" s="24">
        <v>34</v>
      </c>
      <c r="D184" s="23" t="s">
        <v>4737</v>
      </c>
      <c r="E184" t="s">
        <v>18</v>
      </c>
    </row>
    <row r="185" spans="1:5" x14ac:dyDescent="0.25">
      <c r="A185" t="s">
        <v>350</v>
      </c>
      <c r="B185" s="24">
        <v>34</v>
      </c>
      <c r="D185" s="23" t="s">
        <v>4738</v>
      </c>
      <c r="E185" t="s">
        <v>18</v>
      </c>
    </row>
    <row r="186" spans="1:5" x14ac:dyDescent="0.25">
      <c r="A186" t="s">
        <v>351</v>
      </c>
      <c r="B186" s="24">
        <v>34</v>
      </c>
      <c r="D186" s="23" t="s">
        <v>4739</v>
      </c>
      <c r="E186" t="s">
        <v>18</v>
      </c>
    </row>
    <row r="187" spans="1:5" x14ac:dyDescent="0.25">
      <c r="A187" t="s">
        <v>352</v>
      </c>
      <c r="B187" s="24">
        <v>34</v>
      </c>
      <c r="D187" s="23" t="s">
        <v>4740</v>
      </c>
      <c r="E187" t="s">
        <v>18</v>
      </c>
    </row>
    <row r="188" spans="1:5" x14ac:dyDescent="0.25">
      <c r="A188" t="s">
        <v>353</v>
      </c>
      <c r="B188" s="24">
        <v>34</v>
      </c>
      <c r="D188" s="23" t="s">
        <v>4741</v>
      </c>
      <c r="E188" t="s">
        <v>18</v>
      </c>
    </row>
    <row r="189" spans="1:5" x14ac:dyDescent="0.25">
      <c r="A189" t="s">
        <v>354</v>
      </c>
      <c r="B189" s="24">
        <v>34</v>
      </c>
      <c r="D189" s="23" t="s">
        <v>4742</v>
      </c>
      <c r="E189" t="s">
        <v>18</v>
      </c>
    </row>
    <row r="190" spans="1:5" x14ac:dyDescent="0.25">
      <c r="A190" t="s">
        <v>355</v>
      </c>
      <c r="B190" s="24">
        <v>34</v>
      </c>
      <c r="D190" s="23" t="s">
        <v>4743</v>
      </c>
      <c r="E190" t="s">
        <v>18</v>
      </c>
    </row>
    <row r="191" spans="1:5" x14ac:dyDescent="0.25">
      <c r="A191" t="s">
        <v>356</v>
      </c>
      <c r="B191" s="24">
        <v>37</v>
      </c>
      <c r="D191" s="23" t="s">
        <v>4744</v>
      </c>
      <c r="E191" t="s">
        <v>18</v>
      </c>
    </row>
    <row r="192" spans="1:5" x14ac:dyDescent="0.25">
      <c r="A192" t="s">
        <v>357</v>
      </c>
      <c r="B192" s="24">
        <v>37</v>
      </c>
      <c r="D192" s="23" t="s">
        <v>4745</v>
      </c>
      <c r="E192" t="s">
        <v>18</v>
      </c>
    </row>
    <row r="193" spans="1:5" x14ac:dyDescent="0.25">
      <c r="A193" t="s">
        <v>358</v>
      </c>
      <c r="B193" s="24">
        <v>37</v>
      </c>
      <c r="D193" s="23" t="s">
        <v>4746</v>
      </c>
      <c r="E193" t="s">
        <v>18</v>
      </c>
    </row>
    <row r="194" spans="1:5" x14ac:dyDescent="0.25">
      <c r="A194" t="s">
        <v>359</v>
      </c>
      <c r="B194" s="24">
        <v>37</v>
      </c>
      <c r="D194" s="23" t="s">
        <v>4747</v>
      </c>
      <c r="E194" t="s">
        <v>18</v>
      </c>
    </row>
    <row r="195" spans="1:5" x14ac:dyDescent="0.25">
      <c r="A195" t="s">
        <v>360</v>
      </c>
      <c r="B195" s="24">
        <v>37</v>
      </c>
      <c r="D195" s="23" t="s">
        <v>4748</v>
      </c>
      <c r="E195" t="s">
        <v>18</v>
      </c>
    </row>
    <row r="196" spans="1:5" x14ac:dyDescent="0.25">
      <c r="A196" t="s">
        <v>361</v>
      </c>
      <c r="B196" s="24">
        <v>37</v>
      </c>
      <c r="D196" s="23" t="s">
        <v>4749</v>
      </c>
      <c r="E196" t="s">
        <v>18</v>
      </c>
    </row>
    <row r="197" spans="1:5" x14ac:dyDescent="0.25">
      <c r="A197" t="s">
        <v>362</v>
      </c>
      <c r="B197" s="24">
        <v>37</v>
      </c>
      <c r="D197" s="23" t="s">
        <v>4750</v>
      </c>
      <c r="E197" t="s">
        <v>18</v>
      </c>
    </row>
    <row r="198" spans="1:5" x14ac:dyDescent="0.25">
      <c r="A198" t="s">
        <v>363</v>
      </c>
      <c r="B198" s="24">
        <v>37</v>
      </c>
      <c r="D198" s="23" t="s">
        <v>4751</v>
      </c>
      <c r="E198" t="s">
        <v>18</v>
      </c>
    </row>
    <row r="199" spans="1:5" x14ac:dyDescent="0.25">
      <c r="A199" t="s">
        <v>364</v>
      </c>
      <c r="B199" s="24">
        <v>37</v>
      </c>
      <c r="D199" s="23" t="s">
        <v>4752</v>
      </c>
      <c r="E199" t="s">
        <v>18</v>
      </c>
    </row>
    <row r="200" spans="1:5" x14ac:dyDescent="0.25">
      <c r="A200" t="s">
        <v>365</v>
      </c>
      <c r="B200" s="24">
        <v>37</v>
      </c>
      <c r="D200" s="23" t="s">
        <v>4753</v>
      </c>
      <c r="E200" t="s">
        <v>18</v>
      </c>
    </row>
    <row r="201" spans="1:5" x14ac:dyDescent="0.25">
      <c r="A201" t="s">
        <v>366</v>
      </c>
      <c r="B201" s="24">
        <v>40</v>
      </c>
      <c r="D201" s="23" t="s">
        <v>4754</v>
      </c>
      <c r="E201" t="s">
        <v>18</v>
      </c>
    </row>
    <row r="202" spans="1:5" x14ac:dyDescent="0.25">
      <c r="A202" t="s">
        <v>367</v>
      </c>
      <c r="B202" s="24">
        <v>40</v>
      </c>
      <c r="D202" s="23" t="s">
        <v>4755</v>
      </c>
      <c r="E202" t="s">
        <v>18</v>
      </c>
    </row>
    <row r="203" spans="1:5" x14ac:dyDescent="0.25">
      <c r="A203" t="s">
        <v>368</v>
      </c>
      <c r="B203" s="24">
        <v>40</v>
      </c>
      <c r="D203" s="23" t="s">
        <v>4756</v>
      </c>
      <c r="E203" t="s">
        <v>18</v>
      </c>
    </row>
    <row r="204" spans="1:5" x14ac:dyDescent="0.25">
      <c r="A204" t="s">
        <v>369</v>
      </c>
      <c r="B204" s="24">
        <v>40</v>
      </c>
      <c r="D204" s="23" t="s">
        <v>4757</v>
      </c>
      <c r="E204" t="s">
        <v>18</v>
      </c>
    </row>
    <row r="205" spans="1:5" x14ac:dyDescent="0.25">
      <c r="A205" t="s">
        <v>370</v>
      </c>
      <c r="B205" s="24">
        <v>40</v>
      </c>
      <c r="D205" s="23" t="s">
        <v>4758</v>
      </c>
      <c r="E205" t="s">
        <v>18</v>
      </c>
    </row>
    <row r="206" spans="1:5" x14ac:dyDescent="0.25">
      <c r="A206" t="s">
        <v>371</v>
      </c>
      <c r="B206" s="24">
        <v>40</v>
      </c>
      <c r="D206" s="23" t="s">
        <v>4759</v>
      </c>
      <c r="E206" t="s">
        <v>18</v>
      </c>
    </row>
    <row r="207" spans="1:5" x14ac:dyDescent="0.25">
      <c r="A207" t="s">
        <v>372</v>
      </c>
      <c r="B207" s="24">
        <v>40</v>
      </c>
      <c r="D207" s="23" t="s">
        <v>4760</v>
      </c>
      <c r="E207" t="s">
        <v>18</v>
      </c>
    </row>
    <row r="208" spans="1:5" x14ac:dyDescent="0.25">
      <c r="A208" t="s">
        <v>373</v>
      </c>
      <c r="B208" s="24">
        <v>40</v>
      </c>
      <c r="D208" s="23" t="s">
        <v>4761</v>
      </c>
      <c r="E208" t="s">
        <v>18</v>
      </c>
    </row>
    <row r="209" spans="1:5" x14ac:dyDescent="0.25">
      <c r="A209" t="s">
        <v>374</v>
      </c>
      <c r="B209" s="24">
        <v>40</v>
      </c>
      <c r="D209" s="23" t="s">
        <v>4762</v>
      </c>
      <c r="E209" t="s">
        <v>18</v>
      </c>
    </row>
    <row r="210" spans="1:5" x14ac:dyDescent="0.25">
      <c r="A210" t="s">
        <v>375</v>
      </c>
      <c r="B210" s="24">
        <v>40</v>
      </c>
      <c r="D210" s="23" t="s">
        <v>4763</v>
      </c>
      <c r="E210" t="s">
        <v>18</v>
      </c>
    </row>
    <row r="211" spans="1:5" x14ac:dyDescent="0.25">
      <c r="A211" t="s">
        <v>376</v>
      </c>
      <c r="B211" s="24">
        <v>43</v>
      </c>
      <c r="D211" s="23" t="s">
        <v>4764</v>
      </c>
      <c r="E211" t="s">
        <v>18</v>
      </c>
    </row>
    <row r="212" spans="1:5" x14ac:dyDescent="0.25">
      <c r="A212" t="s">
        <v>377</v>
      </c>
      <c r="B212" s="24">
        <v>43</v>
      </c>
      <c r="D212" s="23" t="s">
        <v>4765</v>
      </c>
      <c r="E212" t="s">
        <v>18</v>
      </c>
    </row>
    <row r="213" spans="1:5" x14ac:dyDescent="0.25">
      <c r="A213" t="s">
        <v>378</v>
      </c>
      <c r="B213" s="24">
        <v>43</v>
      </c>
      <c r="D213" s="23" t="s">
        <v>4766</v>
      </c>
      <c r="E213" t="s">
        <v>18</v>
      </c>
    </row>
    <row r="214" spans="1:5" x14ac:dyDescent="0.25">
      <c r="A214" t="s">
        <v>379</v>
      </c>
      <c r="B214" s="24">
        <v>43</v>
      </c>
      <c r="D214" s="23" t="s">
        <v>4767</v>
      </c>
      <c r="E214" t="s">
        <v>18</v>
      </c>
    </row>
    <row r="215" spans="1:5" x14ac:dyDescent="0.25">
      <c r="A215" t="s">
        <v>380</v>
      </c>
      <c r="B215" s="24">
        <v>43</v>
      </c>
      <c r="D215" s="23" t="s">
        <v>4768</v>
      </c>
      <c r="E215" t="s">
        <v>18</v>
      </c>
    </row>
    <row r="216" spans="1:5" x14ac:dyDescent="0.25">
      <c r="A216" t="s">
        <v>381</v>
      </c>
      <c r="B216" s="24">
        <v>43</v>
      </c>
      <c r="D216" s="23" t="s">
        <v>4769</v>
      </c>
      <c r="E216" t="s">
        <v>18</v>
      </c>
    </row>
    <row r="217" spans="1:5" x14ac:dyDescent="0.25">
      <c r="A217" t="s">
        <v>382</v>
      </c>
      <c r="B217" s="24">
        <v>43</v>
      </c>
      <c r="D217" s="23" t="s">
        <v>4770</v>
      </c>
      <c r="E217" t="s">
        <v>18</v>
      </c>
    </row>
    <row r="218" spans="1:5" x14ac:dyDescent="0.25">
      <c r="A218" t="s">
        <v>383</v>
      </c>
      <c r="B218" s="24">
        <v>43</v>
      </c>
      <c r="D218" s="23" t="s">
        <v>4771</v>
      </c>
      <c r="E218" t="s">
        <v>18</v>
      </c>
    </row>
    <row r="219" spans="1:5" x14ac:dyDescent="0.25">
      <c r="A219" t="s">
        <v>384</v>
      </c>
      <c r="B219" s="24">
        <v>43</v>
      </c>
      <c r="D219" s="23" t="s">
        <v>4772</v>
      </c>
      <c r="E219" t="s">
        <v>18</v>
      </c>
    </row>
    <row r="220" spans="1:5" x14ac:dyDescent="0.25">
      <c r="A220" t="s">
        <v>385</v>
      </c>
      <c r="B220" s="24">
        <v>43</v>
      </c>
      <c r="D220" s="23" t="s">
        <v>4773</v>
      </c>
      <c r="E220" t="s">
        <v>18</v>
      </c>
    </row>
    <row r="221" spans="1:5" x14ac:dyDescent="0.25">
      <c r="A221" t="s">
        <v>386</v>
      </c>
      <c r="B221" s="24">
        <v>44</v>
      </c>
      <c r="D221" s="23" t="s">
        <v>4774</v>
      </c>
      <c r="E221" t="s">
        <v>18</v>
      </c>
    </row>
    <row r="222" spans="1:5" x14ac:dyDescent="0.25">
      <c r="A222" t="s">
        <v>387</v>
      </c>
      <c r="B222" s="24">
        <v>44</v>
      </c>
      <c r="D222" s="23" t="s">
        <v>4775</v>
      </c>
      <c r="E222" t="s">
        <v>18</v>
      </c>
    </row>
    <row r="223" spans="1:5" x14ac:dyDescent="0.25">
      <c r="A223" t="s">
        <v>388</v>
      </c>
      <c r="B223" s="24">
        <v>44</v>
      </c>
      <c r="D223" s="23" t="s">
        <v>4776</v>
      </c>
      <c r="E223" t="s">
        <v>18</v>
      </c>
    </row>
    <row r="224" spans="1:5" x14ac:dyDescent="0.25">
      <c r="A224" t="s">
        <v>389</v>
      </c>
      <c r="B224" s="24">
        <v>44</v>
      </c>
      <c r="D224" s="23" t="s">
        <v>4777</v>
      </c>
      <c r="E224" t="s">
        <v>18</v>
      </c>
    </row>
    <row r="225" spans="1:5" x14ac:dyDescent="0.25">
      <c r="A225" t="s">
        <v>390</v>
      </c>
      <c r="B225" s="24">
        <v>44</v>
      </c>
      <c r="D225" s="23" t="s">
        <v>4778</v>
      </c>
      <c r="E225" t="s">
        <v>18</v>
      </c>
    </row>
    <row r="226" spans="1:5" x14ac:dyDescent="0.25">
      <c r="A226" t="s">
        <v>391</v>
      </c>
      <c r="B226" s="24">
        <v>44</v>
      </c>
      <c r="D226" s="23" t="s">
        <v>4779</v>
      </c>
      <c r="E226" t="s">
        <v>18</v>
      </c>
    </row>
    <row r="227" spans="1:5" x14ac:dyDescent="0.25">
      <c r="A227" t="s">
        <v>392</v>
      </c>
      <c r="B227" s="24">
        <v>44</v>
      </c>
      <c r="D227" s="23" t="s">
        <v>4780</v>
      </c>
      <c r="E227" t="s">
        <v>18</v>
      </c>
    </row>
    <row r="228" spans="1:5" x14ac:dyDescent="0.25">
      <c r="A228" t="s">
        <v>393</v>
      </c>
      <c r="B228" s="24">
        <v>44</v>
      </c>
      <c r="D228" s="23" t="s">
        <v>4781</v>
      </c>
      <c r="E228" t="s">
        <v>18</v>
      </c>
    </row>
    <row r="229" spans="1:5" x14ac:dyDescent="0.25">
      <c r="A229" t="s">
        <v>394</v>
      </c>
      <c r="B229" s="24">
        <v>44</v>
      </c>
      <c r="D229" s="23" t="s">
        <v>4782</v>
      </c>
      <c r="E229" t="s">
        <v>18</v>
      </c>
    </row>
    <row r="230" spans="1:5" x14ac:dyDescent="0.25">
      <c r="A230" t="s">
        <v>395</v>
      </c>
      <c r="B230" s="24">
        <v>44</v>
      </c>
      <c r="D230" s="23" t="s">
        <v>4783</v>
      </c>
      <c r="E230" t="s">
        <v>18</v>
      </c>
    </row>
    <row r="231" spans="1:5" x14ac:dyDescent="0.25">
      <c r="A231" t="s">
        <v>396</v>
      </c>
      <c r="B231" s="24">
        <v>47</v>
      </c>
      <c r="D231" s="23" t="s">
        <v>4784</v>
      </c>
      <c r="E231" t="s">
        <v>18</v>
      </c>
    </row>
    <row r="232" spans="1:5" x14ac:dyDescent="0.25">
      <c r="A232" t="s">
        <v>397</v>
      </c>
      <c r="B232" s="24">
        <v>47</v>
      </c>
      <c r="D232" s="23" t="s">
        <v>4785</v>
      </c>
      <c r="E232" t="s">
        <v>17</v>
      </c>
    </row>
    <row r="233" spans="1:5" x14ac:dyDescent="0.25">
      <c r="A233" t="s">
        <v>398</v>
      </c>
      <c r="B233" s="24">
        <v>47</v>
      </c>
      <c r="D233" s="23" t="s">
        <v>4786</v>
      </c>
      <c r="E233" t="s">
        <v>17</v>
      </c>
    </row>
    <row r="234" spans="1:5" x14ac:dyDescent="0.25">
      <c r="A234" t="s">
        <v>399</v>
      </c>
      <c r="B234" s="24">
        <v>47</v>
      </c>
      <c r="D234" s="23" t="s">
        <v>4787</v>
      </c>
      <c r="E234" t="s">
        <v>17</v>
      </c>
    </row>
    <row r="235" spans="1:5" x14ac:dyDescent="0.25">
      <c r="A235" t="s">
        <v>400</v>
      </c>
      <c r="B235" s="24">
        <v>47</v>
      </c>
      <c r="D235" s="23" t="s">
        <v>4788</v>
      </c>
      <c r="E235" t="s">
        <v>17</v>
      </c>
    </row>
    <row r="236" spans="1:5" x14ac:dyDescent="0.25">
      <c r="A236" t="s">
        <v>401</v>
      </c>
      <c r="B236" s="24">
        <v>47</v>
      </c>
      <c r="D236" s="23" t="s">
        <v>4789</v>
      </c>
      <c r="E236" t="s">
        <v>17</v>
      </c>
    </row>
    <row r="237" spans="1:5" x14ac:dyDescent="0.25">
      <c r="A237" t="s">
        <v>402</v>
      </c>
      <c r="B237" s="24">
        <v>47</v>
      </c>
      <c r="D237" s="23" t="s">
        <v>4790</v>
      </c>
      <c r="E237" t="s">
        <v>17</v>
      </c>
    </row>
    <row r="238" spans="1:5" x14ac:dyDescent="0.25">
      <c r="A238" t="s">
        <v>403</v>
      </c>
      <c r="B238" s="24">
        <v>47</v>
      </c>
      <c r="D238" s="23" t="s">
        <v>4791</v>
      </c>
      <c r="E238" t="s">
        <v>17</v>
      </c>
    </row>
    <row r="239" spans="1:5" x14ac:dyDescent="0.25">
      <c r="A239" t="s">
        <v>404</v>
      </c>
      <c r="B239" s="24">
        <v>47</v>
      </c>
      <c r="D239" s="23" t="s">
        <v>4792</v>
      </c>
      <c r="E239" t="s">
        <v>17</v>
      </c>
    </row>
    <row r="240" spans="1:5" x14ac:dyDescent="0.25">
      <c r="A240" t="s">
        <v>405</v>
      </c>
      <c r="B240" s="24">
        <v>47</v>
      </c>
      <c r="D240" s="23" t="s">
        <v>4793</v>
      </c>
      <c r="E240" t="s">
        <v>17</v>
      </c>
    </row>
    <row r="241" spans="1:5" x14ac:dyDescent="0.25">
      <c r="A241" t="s">
        <v>406</v>
      </c>
      <c r="B241" s="24">
        <v>48</v>
      </c>
      <c r="D241" s="23" t="s">
        <v>4794</v>
      </c>
      <c r="E241" t="s">
        <v>17</v>
      </c>
    </row>
    <row r="242" spans="1:5" x14ac:dyDescent="0.25">
      <c r="A242" t="s">
        <v>407</v>
      </c>
      <c r="B242" s="24">
        <v>48</v>
      </c>
      <c r="D242" s="23" t="s">
        <v>4795</v>
      </c>
      <c r="E242" t="s">
        <v>17</v>
      </c>
    </row>
    <row r="243" spans="1:5" x14ac:dyDescent="0.25">
      <c r="A243" t="s">
        <v>408</v>
      </c>
      <c r="B243" s="24">
        <v>48</v>
      </c>
      <c r="D243" s="23" t="s">
        <v>4796</v>
      </c>
      <c r="E243" t="s">
        <v>17</v>
      </c>
    </row>
    <row r="244" spans="1:5" x14ac:dyDescent="0.25">
      <c r="A244" t="s">
        <v>409</v>
      </c>
      <c r="B244" s="24">
        <v>48</v>
      </c>
      <c r="D244" s="23" t="s">
        <v>4797</v>
      </c>
      <c r="E244" t="s">
        <v>17</v>
      </c>
    </row>
    <row r="245" spans="1:5" x14ac:dyDescent="0.25">
      <c r="A245" t="s">
        <v>410</v>
      </c>
      <c r="B245" s="24">
        <v>48</v>
      </c>
      <c r="D245" s="23" t="s">
        <v>4798</v>
      </c>
      <c r="E245" t="s">
        <v>17</v>
      </c>
    </row>
    <row r="246" spans="1:5" x14ac:dyDescent="0.25">
      <c r="A246" t="s">
        <v>411</v>
      </c>
      <c r="B246" s="24">
        <v>48</v>
      </c>
      <c r="D246" s="23" t="s">
        <v>4799</v>
      </c>
      <c r="E246" t="s">
        <v>17</v>
      </c>
    </row>
    <row r="247" spans="1:5" x14ac:dyDescent="0.25">
      <c r="A247" t="s">
        <v>412</v>
      </c>
      <c r="B247" s="24">
        <v>48</v>
      </c>
      <c r="D247" s="23" t="s">
        <v>4800</v>
      </c>
      <c r="E247" t="s">
        <v>17</v>
      </c>
    </row>
    <row r="248" spans="1:5" x14ac:dyDescent="0.25">
      <c r="A248" t="s">
        <v>413</v>
      </c>
      <c r="B248" s="24">
        <v>48</v>
      </c>
      <c r="D248" s="23" t="s">
        <v>4801</v>
      </c>
      <c r="E248" t="s">
        <v>17</v>
      </c>
    </row>
    <row r="249" spans="1:5" x14ac:dyDescent="0.25">
      <c r="A249" t="s">
        <v>414</v>
      </c>
      <c r="B249" s="24">
        <v>48</v>
      </c>
      <c r="D249" s="23" t="s">
        <v>4802</v>
      </c>
      <c r="E249" t="s">
        <v>17</v>
      </c>
    </row>
    <row r="250" spans="1:5" x14ac:dyDescent="0.25">
      <c r="A250" t="s">
        <v>415</v>
      </c>
      <c r="B250" s="24">
        <v>48</v>
      </c>
      <c r="D250" s="23" t="s">
        <v>4803</v>
      </c>
      <c r="E250" t="s">
        <v>17</v>
      </c>
    </row>
    <row r="251" spans="1:5" x14ac:dyDescent="0.25">
      <c r="A251" t="s">
        <v>416</v>
      </c>
      <c r="B251" s="24">
        <v>50</v>
      </c>
      <c r="D251" s="23" t="s">
        <v>4804</v>
      </c>
      <c r="E251" t="s">
        <v>17</v>
      </c>
    </row>
    <row r="252" spans="1:5" x14ac:dyDescent="0.25">
      <c r="A252" t="s">
        <v>417</v>
      </c>
      <c r="B252" s="24">
        <v>50</v>
      </c>
      <c r="D252" s="23" t="s">
        <v>4805</v>
      </c>
      <c r="E252" t="s">
        <v>16</v>
      </c>
    </row>
    <row r="253" spans="1:5" x14ac:dyDescent="0.25">
      <c r="A253" t="s">
        <v>418</v>
      </c>
      <c r="B253" s="24">
        <v>50</v>
      </c>
      <c r="D253" s="23" t="s">
        <v>4806</v>
      </c>
      <c r="E253" t="s">
        <v>16</v>
      </c>
    </row>
    <row r="254" spans="1:5" x14ac:dyDescent="0.25">
      <c r="A254" t="s">
        <v>419</v>
      </c>
      <c r="B254" s="24">
        <v>50</v>
      </c>
      <c r="D254" s="23" t="s">
        <v>4807</v>
      </c>
      <c r="E254" t="s">
        <v>16</v>
      </c>
    </row>
    <row r="255" spans="1:5" x14ac:dyDescent="0.25">
      <c r="A255" t="s">
        <v>420</v>
      </c>
      <c r="B255" s="24">
        <v>50</v>
      </c>
      <c r="D255" s="23" t="s">
        <v>4808</v>
      </c>
      <c r="E255" t="s">
        <v>16</v>
      </c>
    </row>
    <row r="256" spans="1:5" x14ac:dyDescent="0.25">
      <c r="A256" t="s">
        <v>421</v>
      </c>
      <c r="B256" s="24">
        <v>50</v>
      </c>
      <c r="D256" s="23" t="s">
        <v>4809</v>
      </c>
      <c r="E256" t="s">
        <v>16</v>
      </c>
    </row>
    <row r="257" spans="1:5" x14ac:dyDescent="0.25">
      <c r="A257" t="s">
        <v>422</v>
      </c>
      <c r="B257" s="24">
        <v>50</v>
      </c>
      <c r="D257" s="23" t="s">
        <v>4810</v>
      </c>
      <c r="E257" t="s">
        <v>16</v>
      </c>
    </row>
    <row r="258" spans="1:5" x14ac:dyDescent="0.25">
      <c r="A258" t="s">
        <v>423</v>
      </c>
      <c r="B258" s="24">
        <v>50</v>
      </c>
      <c r="D258" s="23" t="s">
        <v>4811</v>
      </c>
      <c r="E258" t="s">
        <v>16</v>
      </c>
    </row>
    <row r="259" spans="1:5" x14ac:dyDescent="0.25">
      <c r="A259" t="s">
        <v>424</v>
      </c>
      <c r="B259" s="24">
        <v>50</v>
      </c>
      <c r="D259" s="23" t="s">
        <v>4812</v>
      </c>
      <c r="E259" t="s">
        <v>16</v>
      </c>
    </row>
    <row r="260" spans="1:5" x14ac:dyDescent="0.25">
      <c r="A260" t="s">
        <v>425</v>
      </c>
      <c r="B260" s="24">
        <v>50</v>
      </c>
      <c r="D260" s="23" t="s">
        <v>4813</v>
      </c>
      <c r="E260" t="s">
        <v>16</v>
      </c>
    </row>
    <row r="261" spans="1:5" x14ac:dyDescent="0.25">
      <c r="A261" t="s">
        <v>426</v>
      </c>
      <c r="B261" s="24">
        <v>51</v>
      </c>
      <c r="D261" s="23" t="s">
        <v>4814</v>
      </c>
      <c r="E261" t="s">
        <v>16</v>
      </c>
    </row>
    <row r="262" spans="1:5" x14ac:dyDescent="0.25">
      <c r="A262" t="s">
        <v>427</v>
      </c>
      <c r="B262" s="24">
        <v>51</v>
      </c>
      <c r="D262" s="23" t="s">
        <v>4815</v>
      </c>
      <c r="E262" t="s">
        <v>16</v>
      </c>
    </row>
    <row r="263" spans="1:5" x14ac:dyDescent="0.25">
      <c r="A263" t="s">
        <v>428</v>
      </c>
      <c r="B263" s="24">
        <v>51</v>
      </c>
      <c r="D263" s="23" t="s">
        <v>4816</v>
      </c>
      <c r="E263" t="s">
        <v>16</v>
      </c>
    </row>
    <row r="264" spans="1:5" x14ac:dyDescent="0.25">
      <c r="A264" t="s">
        <v>429</v>
      </c>
      <c r="B264" s="24">
        <v>51</v>
      </c>
      <c r="D264" s="23" t="s">
        <v>4817</v>
      </c>
      <c r="E264" t="s">
        <v>16</v>
      </c>
    </row>
    <row r="265" spans="1:5" x14ac:dyDescent="0.25">
      <c r="A265" t="s">
        <v>430</v>
      </c>
      <c r="B265" s="24">
        <v>51</v>
      </c>
      <c r="D265" s="23" t="s">
        <v>4818</v>
      </c>
      <c r="E265" t="s">
        <v>16</v>
      </c>
    </row>
    <row r="266" spans="1:5" x14ac:dyDescent="0.25">
      <c r="A266" t="s">
        <v>431</v>
      </c>
      <c r="B266" s="24">
        <v>51</v>
      </c>
      <c r="D266" s="23" t="s">
        <v>4819</v>
      </c>
      <c r="E266" t="s">
        <v>16</v>
      </c>
    </row>
    <row r="267" spans="1:5" x14ac:dyDescent="0.25">
      <c r="A267" t="s">
        <v>432</v>
      </c>
      <c r="B267" s="24">
        <v>51</v>
      </c>
      <c r="D267" s="23" t="s">
        <v>4820</v>
      </c>
      <c r="E267" t="s">
        <v>16</v>
      </c>
    </row>
    <row r="268" spans="1:5" x14ac:dyDescent="0.25">
      <c r="A268" t="s">
        <v>433</v>
      </c>
      <c r="B268" s="24">
        <v>51</v>
      </c>
      <c r="D268" s="23" t="s">
        <v>4821</v>
      </c>
      <c r="E268" t="s">
        <v>16</v>
      </c>
    </row>
    <row r="269" spans="1:5" x14ac:dyDescent="0.25">
      <c r="A269" t="s">
        <v>434</v>
      </c>
      <c r="B269" s="24">
        <v>51</v>
      </c>
      <c r="D269" s="23" t="s">
        <v>4822</v>
      </c>
      <c r="E269" t="s">
        <v>16</v>
      </c>
    </row>
    <row r="270" spans="1:5" x14ac:dyDescent="0.25">
      <c r="A270" t="s">
        <v>435</v>
      </c>
      <c r="B270" s="24">
        <v>51</v>
      </c>
      <c r="D270" s="23" t="s">
        <v>4823</v>
      </c>
      <c r="E270" t="s">
        <v>16</v>
      </c>
    </row>
    <row r="271" spans="1:5" x14ac:dyDescent="0.25">
      <c r="A271" t="s">
        <v>436</v>
      </c>
      <c r="B271" s="24">
        <v>53</v>
      </c>
      <c r="D271" s="23" t="s">
        <v>4824</v>
      </c>
      <c r="E271" t="s">
        <v>16</v>
      </c>
    </row>
    <row r="272" spans="1:5" x14ac:dyDescent="0.25">
      <c r="A272" t="s">
        <v>437</v>
      </c>
      <c r="B272" s="24">
        <v>53</v>
      </c>
      <c r="D272" s="23" t="s">
        <v>4825</v>
      </c>
      <c r="E272" t="s">
        <v>16</v>
      </c>
    </row>
    <row r="273" spans="1:5" x14ac:dyDescent="0.25">
      <c r="A273" t="s">
        <v>438</v>
      </c>
      <c r="B273" s="24">
        <v>53</v>
      </c>
      <c r="D273" s="23" t="s">
        <v>4826</v>
      </c>
      <c r="E273" t="s">
        <v>16</v>
      </c>
    </row>
    <row r="274" spans="1:5" x14ac:dyDescent="0.25">
      <c r="A274" t="s">
        <v>439</v>
      </c>
      <c r="B274" s="24">
        <v>53</v>
      </c>
      <c r="D274" s="23" t="s">
        <v>4827</v>
      </c>
      <c r="E274" t="s">
        <v>16</v>
      </c>
    </row>
    <row r="275" spans="1:5" x14ac:dyDescent="0.25">
      <c r="A275" t="s">
        <v>440</v>
      </c>
      <c r="B275" s="24">
        <v>53</v>
      </c>
      <c r="D275" s="23" t="s">
        <v>4828</v>
      </c>
      <c r="E275" t="s">
        <v>16</v>
      </c>
    </row>
    <row r="276" spans="1:5" x14ac:dyDescent="0.25">
      <c r="A276" t="s">
        <v>441</v>
      </c>
      <c r="B276" s="24">
        <v>53</v>
      </c>
      <c r="D276" s="23" t="s">
        <v>4829</v>
      </c>
      <c r="E276" t="s">
        <v>16</v>
      </c>
    </row>
    <row r="277" spans="1:5" x14ac:dyDescent="0.25">
      <c r="A277" t="s">
        <v>442</v>
      </c>
      <c r="B277" s="24">
        <v>53</v>
      </c>
      <c r="D277" s="23" t="s">
        <v>4830</v>
      </c>
      <c r="E277" t="s">
        <v>16</v>
      </c>
    </row>
    <row r="278" spans="1:5" x14ac:dyDescent="0.25">
      <c r="A278" t="s">
        <v>443</v>
      </c>
      <c r="B278" s="24">
        <v>53</v>
      </c>
      <c r="D278" s="23" t="s">
        <v>4831</v>
      </c>
      <c r="E278" t="s">
        <v>16</v>
      </c>
    </row>
    <row r="279" spans="1:5" x14ac:dyDescent="0.25">
      <c r="A279" t="s">
        <v>444</v>
      </c>
      <c r="B279" s="24">
        <v>53</v>
      </c>
      <c r="D279" s="23" t="s">
        <v>4832</v>
      </c>
      <c r="E279" t="s">
        <v>16</v>
      </c>
    </row>
    <row r="280" spans="1:5" x14ac:dyDescent="0.25">
      <c r="A280" t="s">
        <v>445</v>
      </c>
      <c r="B280" s="24">
        <v>53</v>
      </c>
      <c r="D280" s="23" t="s">
        <v>4833</v>
      </c>
      <c r="E280" t="s">
        <v>16</v>
      </c>
    </row>
    <row r="281" spans="1:5" x14ac:dyDescent="0.25">
      <c r="A281" t="s">
        <v>446</v>
      </c>
      <c r="B281" s="24">
        <v>54</v>
      </c>
      <c r="D281" s="23" t="s">
        <v>4834</v>
      </c>
      <c r="E281" t="s">
        <v>16</v>
      </c>
    </row>
    <row r="282" spans="1:5" x14ac:dyDescent="0.25">
      <c r="A282" t="s">
        <v>447</v>
      </c>
      <c r="B282" s="24">
        <v>54</v>
      </c>
      <c r="D282" s="23" t="s">
        <v>4835</v>
      </c>
      <c r="E282" t="s">
        <v>16</v>
      </c>
    </row>
    <row r="283" spans="1:5" x14ac:dyDescent="0.25">
      <c r="A283" t="s">
        <v>448</v>
      </c>
      <c r="B283" s="24">
        <v>54</v>
      </c>
      <c r="D283" s="23" t="s">
        <v>4836</v>
      </c>
      <c r="E283" t="s">
        <v>16</v>
      </c>
    </row>
    <row r="284" spans="1:5" x14ac:dyDescent="0.25">
      <c r="A284" t="s">
        <v>449</v>
      </c>
      <c r="B284" s="24">
        <v>54</v>
      </c>
      <c r="D284" s="23" t="s">
        <v>4837</v>
      </c>
      <c r="E284" t="s">
        <v>16</v>
      </c>
    </row>
    <row r="285" spans="1:5" x14ac:dyDescent="0.25">
      <c r="A285" t="s">
        <v>450</v>
      </c>
      <c r="B285" s="24">
        <v>54</v>
      </c>
      <c r="D285" s="23" t="s">
        <v>4838</v>
      </c>
      <c r="E285" t="s">
        <v>16</v>
      </c>
    </row>
    <row r="286" spans="1:5" x14ac:dyDescent="0.25">
      <c r="A286" t="s">
        <v>451</v>
      </c>
      <c r="B286" s="24">
        <v>54</v>
      </c>
      <c r="D286" s="23" t="s">
        <v>4839</v>
      </c>
      <c r="E286" t="s">
        <v>16</v>
      </c>
    </row>
    <row r="287" spans="1:5" x14ac:dyDescent="0.25">
      <c r="A287" t="s">
        <v>452</v>
      </c>
      <c r="B287" s="24">
        <v>54</v>
      </c>
      <c r="D287" s="23" t="s">
        <v>4840</v>
      </c>
      <c r="E287" t="s">
        <v>16</v>
      </c>
    </row>
    <row r="288" spans="1:5" x14ac:dyDescent="0.25">
      <c r="A288" t="s">
        <v>453</v>
      </c>
      <c r="B288" s="24">
        <v>54</v>
      </c>
      <c r="D288" s="23" t="s">
        <v>4841</v>
      </c>
      <c r="E288" t="s">
        <v>16</v>
      </c>
    </row>
    <row r="289" spans="1:5" x14ac:dyDescent="0.25">
      <c r="A289" t="s">
        <v>454</v>
      </c>
      <c r="B289" s="24">
        <v>54</v>
      </c>
      <c r="D289" s="23" t="s">
        <v>4842</v>
      </c>
      <c r="E289" t="s">
        <v>16</v>
      </c>
    </row>
    <row r="290" spans="1:5" x14ac:dyDescent="0.25">
      <c r="A290" t="s">
        <v>455</v>
      </c>
      <c r="B290" s="24">
        <v>54</v>
      </c>
      <c r="D290" s="23" t="s">
        <v>4843</v>
      </c>
      <c r="E290" t="s">
        <v>16</v>
      </c>
    </row>
    <row r="291" spans="1:5" x14ac:dyDescent="0.25">
      <c r="A291" s="23" t="s">
        <v>948</v>
      </c>
      <c r="B291" s="24">
        <v>55</v>
      </c>
      <c r="D291" s="23" t="s">
        <v>4844</v>
      </c>
      <c r="E291" t="s">
        <v>16</v>
      </c>
    </row>
    <row r="292" spans="1:5" x14ac:dyDescent="0.25">
      <c r="A292" t="s">
        <v>456</v>
      </c>
      <c r="B292" s="24">
        <v>55</v>
      </c>
      <c r="D292" s="23" t="s">
        <v>4845</v>
      </c>
      <c r="E292" t="s">
        <v>16</v>
      </c>
    </row>
    <row r="293" spans="1:5" x14ac:dyDescent="0.25">
      <c r="A293" t="s">
        <v>457</v>
      </c>
      <c r="B293" s="24">
        <v>55</v>
      </c>
      <c r="D293" s="23" t="s">
        <v>4846</v>
      </c>
      <c r="E293" t="s">
        <v>16</v>
      </c>
    </row>
    <row r="294" spans="1:5" x14ac:dyDescent="0.25">
      <c r="A294" t="s">
        <v>458</v>
      </c>
      <c r="B294" s="24">
        <v>55</v>
      </c>
      <c r="D294" s="23" t="s">
        <v>4847</v>
      </c>
      <c r="E294" t="s">
        <v>16</v>
      </c>
    </row>
    <row r="295" spans="1:5" x14ac:dyDescent="0.25">
      <c r="A295" t="s">
        <v>459</v>
      </c>
      <c r="B295" s="24">
        <v>55</v>
      </c>
      <c r="D295" s="23" t="s">
        <v>4848</v>
      </c>
      <c r="E295" t="s">
        <v>16</v>
      </c>
    </row>
    <row r="296" spans="1:5" x14ac:dyDescent="0.25">
      <c r="A296" t="s">
        <v>460</v>
      </c>
      <c r="B296" s="24">
        <v>55</v>
      </c>
      <c r="D296" s="23" t="s">
        <v>4849</v>
      </c>
      <c r="E296" t="s">
        <v>16</v>
      </c>
    </row>
    <row r="297" spans="1:5" x14ac:dyDescent="0.25">
      <c r="A297" t="s">
        <v>461</v>
      </c>
      <c r="B297" s="24">
        <v>55</v>
      </c>
      <c r="D297" s="23" t="s">
        <v>4850</v>
      </c>
      <c r="E297" t="s">
        <v>16</v>
      </c>
    </row>
    <row r="298" spans="1:5" x14ac:dyDescent="0.25">
      <c r="A298" t="s">
        <v>462</v>
      </c>
      <c r="B298" s="24">
        <v>55</v>
      </c>
      <c r="D298" s="23" t="s">
        <v>4851</v>
      </c>
      <c r="E298" t="s">
        <v>16</v>
      </c>
    </row>
    <row r="299" spans="1:5" x14ac:dyDescent="0.25">
      <c r="A299" t="s">
        <v>463</v>
      </c>
      <c r="B299" s="24">
        <v>55</v>
      </c>
      <c r="D299" s="23" t="s">
        <v>4852</v>
      </c>
      <c r="E299" t="s">
        <v>16</v>
      </c>
    </row>
    <row r="300" spans="1:5" x14ac:dyDescent="0.25">
      <c r="A300" t="s">
        <v>464</v>
      </c>
      <c r="B300" s="24">
        <v>55</v>
      </c>
      <c r="D300" s="23" t="s">
        <v>4853</v>
      </c>
      <c r="E300" t="s">
        <v>16</v>
      </c>
    </row>
    <row r="301" spans="1:5" x14ac:dyDescent="0.25">
      <c r="A301" s="23" t="s">
        <v>949</v>
      </c>
      <c r="B301" s="24">
        <v>57</v>
      </c>
      <c r="D301" s="23" t="s">
        <v>4854</v>
      </c>
      <c r="E301" t="s">
        <v>16</v>
      </c>
    </row>
    <row r="302" spans="1:5" x14ac:dyDescent="0.25">
      <c r="A302" s="23" t="s">
        <v>465</v>
      </c>
      <c r="B302" s="24">
        <v>57</v>
      </c>
      <c r="D302" s="23" t="s">
        <v>4855</v>
      </c>
      <c r="E302" t="s">
        <v>16</v>
      </c>
    </row>
    <row r="303" spans="1:5" x14ac:dyDescent="0.25">
      <c r="A303" s="23" t="s">
        <v>466</v>
      </c>
      <c r="B303" s="24">
        <v>57</v>
      </c>
      <c r="D303" s="23" t="s">
        <v>4856</v>
      </c>
      <c r="E303" t="s">
        <v>16</v>
      </c>
    </row>
    <row r="304" spans="1:5" x14ac:dyDescent="0.25">
      <c r="A304" s="23" t="s">
        <v>467</v>
      </c>
      <c r="B304" s="24">
        <v>57</v>
      </c>
      <c r="D304" s="23" t="s">
        <v>4857</v>
      </c>
      <c r="E304" t="s">
        <v>16</v>
      </c>
    </row>
    <row r="305" spans="1:5" x14ac:dyDescent="0.25">
      <c r="A305" s="23" t="s">
        <v>468</v>
      </c>
      <c r="B305" s="24">
        <v>57</v>
      </c>
      <c r="D305" s="23" t="s">
        <v>4858</v>
      </c>
      <c r="E305" t="s">
        <v>16</v>
      </c>
    </row>
    <row r="306" spans="1:5" x14ac:dyDescent="0.25">
      <c r="A306" s="23" t="s">
        <v>469</v>
      </c>
      <c r="B306" s="24">
        <v>57</v>
      </c>
      <c r="D306" s="23" t="s">
        <v>4859</v>
      </c>
      <c r="E306" t="s">
        <v>16</v>
      </c>
    </row>
    <row r="307" spans="1:5" x14ac:dyDescent="0.25">
      <c r="A307" s="23" t="s">
        <v>470</v>
      </c>
      <c r="B307" s="24">
        <v>57</v>
      </c>
      <c r="D307" s="23" t="s">
        <v>4860</v>
      </c>
      <c r="E307" t="s">
        <v>16</v>
      </c>
    </row>
    <row r="308" spans="1:5" x14ac:dyDescent="0.25">
      <c r="A308" s="23" t="s">
        <v>471</v>
      </c>
      <c r="B308" s="24">
        <v>57</v>
      </c>
      <c r="D308" s="23" t="s">
        <v>4861</v>
      </c>
      <c r="E308" t="s">
        <v>16</v>
      </c>
    </row>
    <row r="309" spans="1:5" x14ac:dyDescent="0.25">
      <c r="A309" s="23" t="s">
        <v>472</v>
      </c>
      <c r="B309" s="24">
        <v>57</v>
      </c>
      <c r="D309" s="23" t="s">
        <v>4862</v>
      </c>
      <c r="E309" t="s">
        <v>16</v>
      </c>
    </row>
    <row r="310" spans="1:5" x14ac:dyDescent="0.25">
      <c r="A310" s="23" t="s">
        <v>473</v>
      </c>
      <c r="B310" s="24">
        <v>57</v>
      </c>
      <c r="D310" s="23" t="s">
        <v>4863</v>
      </c>
      <c r="E310" t="s">
        <v>16</v>
      </c>
    </row>
    <row r="311" spans="1:5" x14ac:dyDescent="0.25">
      <c r="A311" s="23" t="s">
        <v>950</v>
      </c>
      <c r="B311" s="24">
        <v>58</v>
      </c>
      <c r="D311" s="23" t="s">
        <v>4864</v>
      </c>
      <c r="E311" t="s">
        <v>16</v>
      </c>
    </row>
    <row r="312" spans="1:5" x14ac:dyDescent="0.25">
      <c r="A312" s="23" t="s">
        <v>474</v>
      </c>
      <c r="B312" s="24">
        <v>58</v>
      </c>
      <c r="D312" s="23" t="s">
        <v>4865</v>
      </c>
      <c r="E312" t="s">
        <v>16</v>
      </c>
    </row>
    <row r="313" spans="1:5" x14ac:dyDescent="0.25">
      <c r="A313" s="23" t="s">
        <v>475</v>
      </c>
      <c r="B313" s="24">
        <v>58</v>
      </c>
      <c r="D313" s="23" t="s">
        <v>4866</v>
      </c>
      <c r="E313" t="s">
        <v>16</v>
      </c>
    </row>
    <row r="314" spans="1:5" x14ac:dyDescent="0.25">
      <c r="A314" s="23" t="s">
        <v>476</v>
      </c>
      <c r="B314" s="24">
        <v>58</v>
      </c>
      <c r="D314" s="23" t="s">
        <v>4867</v>
      </c>
      <c r="E314" t="s">
        <v>16</v>
      </c>
    </row>
    <row r="315" spans="1:5" x14ac:dyDescent="0.25">
      <c r="A315" s="23" t="s">
        <v>477</v>
      </c>
      <c r="B315" s="24">
        <v>58</v>
      </c>
      <c r="D315" s="23" t="s">
        <v>4868</v>
      </c>
      <c r="E315" t="s">
        <v>16</v>
      </c>
    </row>
    <row r="316" spans="1:5" x14ac:dyDescent="0.25">
      <c r="A316" s="23" t="s">
        <v>478</v>
      </c>
      <c r="B316" s="24">
        <v>58</v>
      </c>
      <c r="D316" s="23" t="s">
        <v>4869</v>
      </c>
      <c r="E316" t="s">
        <v>16</v>
      </c>
    </row>
    <row r="317" spans="1:5" x14ac:dyDescent="0.25">
      <c r="A317" s="23" t="s">
        <v>479</v>
      </c>
      <c r="B317" s="24">
        <v>58</v>
      </c>
      <c r="D317" s="23" t="s">
        <v>4870</v>
      </c>
      <c r="E317" t="s">
        <v>16</v>
      </c>
    </row>
    <row r="318" spans="1:5" x14ac:dyDescent="0.25">
      <c r="A318" s="23" t="s">
        <v>480</v>
      </c>
      <c r="B318" s="24">
        <v>58</v>
      </c>
      <c r="D318" s="23" t="s">
        <v>4871</v>
      </c>
      <c r="E318" t="s">
        <v>16</v>
      </c>
    </row>
    <row r="319" spans="1:5" x14ac:dyDescent="0.25">
      <c r="A319" s="23" t="s">
        <v>481</v>
      </c>
      <c r="B319" s="24">
        <v>58</v>
      </c>
      <c r="D319" s="23" t="s">
        <v>4872</v>
      </c>
      <c r="E319" t="s">
        <v>16</v>
      </c>
    </row>
    <row r="320" spans="1:5" x14ac:dyDescent="0.25">
      <c r="A320" s="23" t="s">
        <v>482</v>
      </c>
      <c r="B320" s="24">
        <v>58</v>
      </c>
      <c r="D320" s="23" t="s">
        <v>4873</v>
      </c>
      <c r="E320" t="s">
        <v>16</v>
      </c>
    </row>
    <row r="321" spans="1:5" x14ac:dyDescent="0.25">
      <c r="A321" s="23" t="s">
        <v>951</v>
      </c>
      <c r="B321" s="24">
        <v>59</v>
      </c>
      <c r="D321" s="23" t="s">
        <v>4874</v>
      </c>
      <c r="E321" t="s">
        <v>16</v>
      </c>
    </row>
    <row r="322" spans="1:5" x14ac:dyDescent="0.25">
      <c r="A322" s="23" t="s">
        <v>483</v>
      </c>
      <c r="B322" s="24">
        <v>59</v>
      </c>
      <c r="D322" s="23" t="s">
        <v>4875</v>
      </c>
      <c r="E322" t="s">
        <v>16</v>
      </c>
    </row>
    <row r="323" spans="1:5" x14ac:dyDescent="0.25">
      <c r="A323" s="23" t="s">
        <v>484</v>
      </c>
      <c r="B323" s="24">
        <v>59</v>
      </c>
      <c r="D323" s="23" t="s">
        <v>4876</v>
      </c>
      <c r="E323" t="s">
        <v>16</v>
      </c>
    </row>
    <row r="324" spans="1:5" x14ac:dyDescent="0.25">
      <c r="A324" s="23" t="s">
        <v>485</v>
      </c>
      <c r="B324" s="24">
        <v>59</v>
      </c>
      <c r="D324" s="23" t="s">
        <v>4877</v>
      </c>
      <c r="E324" t="s">
        <v>16</v>
      </c>
    </row>
    <row r="325" spans="1:5" x14ac:dyDescent="0.25">
      <c r="A325" s="23" t="s">
        <v>486</v>
      </c>
      <c r="B325" s="24">
        <v>59</v>
      </c>
      <c r="D325" s="23" t="s">
        <v>4878</v>
      </c>
      <c r="E325" t="s">
        <v>16</v>
      </c>
    </row>
    <row r="326" spans="1:5" x14ac:dyDescent="0.25">
      <c r="A326" s="23" t="s">
        <v>487</v>
      </c>
      <c r="B326" s="24">
        <v>59</v>
      </c>
      <c r="D326" s="23" t="s">
        <v>4879</v>
      </c>
      <c r="E326" t="s">
        <v>16</v>
      </c>
    </row>
    <row r="327" spans="1:5" x14ac:dyDescent="0.25">
      <c r="A327" s="23" t="s">
        <v>488</v>
      </c>
      <c r="B327" s="24">
        <v>59</v>
      </c>
      <c r="D327" s="23" t="s">
        <v>4880</v>
      </c>
      <c r="E327" t="s">
        <v>16</v>
      </c>
    </row>
    <row r="328" spans="1:5" x14ac:dyDescent="0.25">
      <c r="A328" s="23" t="s">
        <v>489</v>
      </c>
      <c r="B328" s="24">
        <v>59</v>
      </c>
      <c r="D328" s="23" t="s">
        <v>4881</v>
      </c>
      <c r="E328" t="s">
        <v>16</v>
      </c>
    </row>
    <row r="329" spans="1:5" x14ac:dyDescent="0.25">
      <c r="A329" s="23" t="s">
        <v>490</v>
      </c>
      <c r="B329" s="24">
        <v>59</v>
      </c>
      <c r="D329" s="23" t="s">
        <v>4882</v>
      </c>
      <c r="E329" t="s">
        <v>16</v>
      </c>
    </row>
    <row r="330" spans="1:5" x14ac:dyDescent="0.25">
      <c r="A330" s="23" t="s">
        <v>491</v>
      </c>
      <c r="B330" s="24">
        <v>59</v>
      </c>
      <c r="D330" s="23" t="s">
        <v>4883</v>
      </c>
      <c r="E330" t="s">
        <v>16</v>
      </c>
    </row>
    <row r="331" spans="1:5" x14ac:dyDescent="0.25">
      <c r="A331" s="23" t="s">
        <v>952</v>
      </c>
      <c r="B331" s="24">
        <v>61</v>
      </c>
      <c r="D331" s="23" t="s">
        <v>4884</v>
      </c>
      <c r="E331" t="s">
        <v>16</v>
      </c>
    </row>
    <row r="332" spans="1:5" x14ac:dyDescent="0.25">
      <c r="A332" s="23" t="s">
        <v>492</v>
      </c>
      <c r="B332" s="24">
        <v>61</v>
      </c>
      <c r="D332" s="23" t="s">
        <v>4885</v>
      </c>
      <c r="E332" t="s">
        <v>16</v>
      </c>
    </row>
    <row r="333" spans="1:5" x14ac:dyDescent="0.25">
      <c r="A333" s="23" t="s">
        <v>493</v>
      </c>
      <c r="B333" s="24">
        <v>61</v>
      </c>
      <c r="D333" s="23" t="s">
        <v>4886</v>
      </c>
      <c r="E333" t="s">
        <v>16</v>
      </c>
    </row>
    <row r="334" spans="1:5" x14ac:dyDescent="0.25">
      <c r="A334" s="23" t="s">
        <v>494</v>
      </c>
      <c r="B334" s="24">
        <v>61</v>
      </c>
      <c r="D334" s="23" t="s">
        <v>4887</v>
      </c>
      <c r="E334" t="s">
        <v>16</v>
      </c>
    </row>
    <row r="335" spans="1:5" x14ac:dyDescent="0.25">
      <c r="A335" s="23" t="s">
        <v>495</v>
      </c>
      <c r="B335" s="24">
        <v>61</v>
      </c>
      <c r="D335" s="23" t="s">
        <v>4888</v>
      </c>
      <c r="E335" t="s">
        <v>16</v>
      </c>
    </row>
    <row r="336" spans="1:5" x14ac:dyDescent="0.25">
      <c r="A336" s="23" t="s">
        <v>496</v>
      </c>
      <c r="B336" s="24">
        <v>61</v>
      </c>
      <c r="D336" s="23" t="s">
        <v>4889</v>
      </c>
      <c r="E336" t="s">
        <v>16</v>
      </c>
    </row>
    <row r="337" spans="1:5" x14ac:dyDescent="0.25">
      <c r="A337" s="23" t="s">
        <v>497</v>
      </c>
      <c r="B337" s="24">
        <v>61</v>
      </c>
      <c r="D337" s="23" t="s">
        <v>4890</v>
      </c>
      <c r="E337" t="s">
        <v>16</v>
      </c>
    </row>
    <row r="338" spans="1:5" x14ac:dyDescent="0.25">
      <c r="A338" s="23" t="s">
        <v>498</v>
      </c>
      <c r="B338" s="24">
        <v>61</v>
      </c>
      <c r="D338" s="23" t="s">
        <v>4891</v>
      </c>
      <c r="E338" t="s">
        <v>16</v>
      </c>
    </row>
    <row r="339" spans="1:5" x14ac:dyDescent="0.25">
      <c r="A339" s="23" t="s">
        <v>499</v>
      </c>
      <c r="B339" s="24">
        <v>61</v>
      </c>
      <c r="D339" s="23" t="s">
        <v>4892</v>
      </c>
      <c r="E339" t="s">
        <v>16</v>
      </c>
    </row>
    <row r="340" spans="1:5" x14ac:dyDescent="0.25">
      <c r="A340" s="23" t="s">
        <v>500</v>
      </c>
      <c r="B340" s="24">
        <v>61</v>
      </c>
      <c r="D340" s="23" t="s">
        <v>4893</v>
      </c>
      <c r="E340" t="s">
        <v>16</v>
      </c>
    </row>
    <row r="341" spans="1:5" x14ac:dyDescent="0.25">
      <c r="A341" s="23" t="s">
        <v>953</v>
      </c>
      <c r="B341" s="24">
        <v>62</v>
      </c>
      <c r="D341" s="23" t="s">
        <v>4894</v>
      </c>
      <c r="E341" t="s">
        <v>16</v>
      </c>
    </row>
    <row r="342" spans="1:5" x14ac:dyDescent="0.25">
      <c r="A342" s="23" t="s">
        <v>501</v>
      </c>
      <c r="B342" s="24">
        <v>62</v>
      </c>
      <c r="D342" s="23" t="s">
        <v>4895</v>
      </c>
      <c r="E342" t="s">
        <v>16</v>
      </c>
    </row>
    <row r="343" spans="1:5" x14ac:dyDescent="0.25">
      <c r="A343" s="23" t="s">
        <v>502</v>
      </c>
      <c r="B343" s="24">
        <v>62</v>
      </c>
      <c r="D343" s="23" t="s">
        <v>4896</v>
      </c>
      <c r="E343" t="s">
        <v>16</v>
      </c>
    </row>
    <row r="344" spans="1:5" x14ac:dyDescent="0.25">
      <c r="A344" s="23" t="s">
        <v>503</v>
      </c>
      <c r="B344" s="24">
        <v>62</v>
      </c>
      <c r="D344" s="23" t="s">
        <v>4897</v>
      </c>
      <c r="E344" t="s">
        <v>16</v>
      </c>
    </row>
    <row r="345" spans="1:5" x14ac:dyDescent="0.25">
      <c r="A345" s="23" t="s">
        <v>504</v>
      </c>
      <c r="B345" s="24">
        <v>62</v>
      </c>
      <c r="D345" s="23" t="s">
        <v>4898</v>
      </c>
      <c r="E345" t="s">
        <v>16</v>
      </c>
    </row>
    <row r="346" spans="1:5" x14ac:dyDescent="0.25">
      <c r="A346" s="23" t="s">
        <v>505</v>
      </c>
      <c r="B346" s="24">
        <v>62</v>
      </c>
      <c r="D346" s="23" t="s">
        <v>4899</v>
      </c>
      <c r="E346" t="s">
        <v>16</v>
      </c>
    </row>
    <row r="347" spans="1:5" x14ac:dyDescent="0.25">
      <c r="A347" s="23" t="s">
        <v>506</v>
      </c>
      <c r="B347" s="24">
        <v>62</v>
      </c>
      <c r="D347" s="23" t="s">
        <v>4900</v>
      </c>
      <c r="E347" t="s">
        <v>16</v>
      </c>
    </row>
    <row r="348" spans="1:5" x14ac:dyDescent="0.25">
      <c r="A348" s="23" t="s">
        <v>507</v>
      </c>
      <c r="B348" s="24">
        <v>62</v>
      </c>
      <c r="D348" s="23" t="s">
        <v>4901</v>
      </c>
      <c r="E348" t="s">
        <v>16</v>
      </c>
    </row>
    <row r="349" spans="1:5" x14ac:dyDescent="0.25">
      <c r="A349" s="23" t="s">
        <v>508</v>
      </c>
      <c r="B349" s="24">
        <v>62</v>
      </c>
      <c r="D349" s="23" t="s">
        <v>4902</v>
      </c>
      <c r="E349" t="s">
        <v>16</v>
      </c>
    </row>
    <row r="350" spans="1:5" x14ac:dyDescent="0.25">
      <c r="A350" s="23" t="s">
        <v>509</v>
      </c>
      <c r="B350" s="24">
        <v>62</v>
      </c>
      <c r="D350" s="23" t="s">
        <v>4903</v>
      </c>
      <c r="E350" t="s">
        <v>16</v>
      </c>
    </row>
    <row r="351" spans="1:5" x14ac:dyDescent="0.25">
      <c r="A351" s="23" t="s">
        <v>954</v>
      </c>
      <c r="B351" s="24">
        <v>63</v>
      </c>
      <c r="D351" s="23" t="s">
        <v>4904</v>
      </c>
      <c r="E351" t="s">
        <v>16</v>
      </c>
    </row>
    <row r="352" spans="1:5" x14ac:dyDescent="0.25">
      <c r="A352" s="23" t="s">
        <v>510</v>
      </c>
      <c r="B352" s="24">
        <v>63</v>
      </c>
      <c r="D352" s="23" t="s">
        <v>4905</v>
      </c>
      <c r="E352" t="s">
        <v>16</v>
      </c>
    </row>
    <row r="353" spans="1:5" x14ac:dyDescent="0.25">
      <c r="A353" s="23" t="s">
        <v>511</v>
      </c>
      <c r="B353" s="24">
        <v>63</v>
      </c>
      <c r="D353" s="23" t="s">
        <v>4906</v>
      </c>
      <c r="E353" t="s">
        <v>16</v>
      </c>
    </row>
    <row r="354" spans="1:5" x14ac:dyDescent="0.25">
      <c r="A354" s="23" t="s">
        <v>512</v>
      </c>
      <c r="B354" s="24">
        <v>63</v>
      </c>
      <c r="D354" s="23" t="s">
        <v>4907</v>
      </c>
      <c r="E354" t="s">
        <v>16</v>
      </c>
    </row>
    <row r="355" spans="1:5" x14ac:dyDescent="0.25">
      <c r="A355" s="23" t="s">
        <v>513</v>
      </c>
      <c r="B355" s="24">
        <v>63</v>
      </c>
      <c r="D355" s="23" t="s">
        <v>4908</v>
      </c>
      <c r="E355" t="s">
        <v>16</v>
      </c>
    </row>
    <row r="356" spans="1:5" x14ac:dyDescent="0.25">
      <c r="A356" s="23" t="s">
        <v>514</v>
      </c>
      <c r="B356" s="24">
        <v>63</v>
      </c>
      <c r="D356" s="23" t="s">
        <v>4909</v>
      </c>
      <c r="E356" t="s">
        <v>16</v>
      </c>
    </row>
    <row r="357" spans="1:5" x14ac:dyDescent="0.25">
      <c r="A357" s="23" t="s">
        <v>515</v>
      </c>
      <c r="B357" s="24">
        <v>63</v>
      </c>
      <c r="D357" s="23" t="s">
        <v>4910</v>
      </c>
      <c r="E357" t="s">
        <v>16</v>
      </c>
    </row>
    <row r="358" spans="1:5" x14ac:dyDescent="0.25">
      <c r="A358" s="23" t="s">
        <v>516</v>
      </c>
      <c r="B358" s="24">
        <v>63</v>
      </c>
      <c r="D358" s="23" t="s">
        <v>4911</v>
      </c>
      <c r="E358" t="s">
        <v>16</v>
      </c>
    </row>
    <row r="359" spans="1:5" x14ac:dyDescent="0.25">
      <c r="A359" s="23" t="s">
        <v>517</v>
      </c>
      <c r="B359" s="24">
        <v>63</v>
      </c>
      <c r="D359" s="23" t="s">
        <v>4912</v>
      </c>
      <c r="E359" t="s">
        <v>16</v>
      </c>
    </row>
    <row r="360" spans="1:5" x14ac:dyDescent="0.25">
      <c r="A360" s="23" t="s">
        <v>518</v>
      </c>
      <c r="B360" s="24">
        <v>63</v>
      </c>
      <c r="D360" s="23" t="s">
        <v>4913</v>
      </c>
      <c r="E360" t="s">
        <v>16</v>
      </c>
    </row>
    <row r="361" spans="1:5" x14ac:dyDescent="0.25">
      <c r="A361" s="23" t="s">
        <v>955</v>
      </c>
      <c r="B361" s="24">
        <v>65</v>
      </c>
      <c r="D361" s="23" t="s">
        <v>4914</v>
      </c>
      <c r="E361" t="s">
        <v>16</v>
      </c>
    </row>
    <row r="362" spans="1:5" x14ac:dyDescent="0.25">
      <c r="A362" s="23" t="s">
        <v>519</v>
      </c>
      <c r="B362" s="24">
        <v>65</v>
      </c>
      <c r="D362" s="23" t="s">
        <v>4915</v>
      </c>
      <c r="E362" t="s">
        <v>16</v>
      </c>
    </row>
    <row r="363" spans="1:5" x14ac:dyDescent="0.25">
      <c r="A363" s="23" t="s">
        <v>520</v>
      </c>
      <c r="B363" s="24">
        <v>65</v>
      </c>
      <c r="D363" s="23" t="s">
        <v>4916</v>
      </c>
      <c r="E363" t="s">
        <v>16</v>
      </c>
    </row>
    <row r="364" spans="1:5" x14ac:dyDescent="0.25">
      <c r="A364" s="23" t="s">
        <v>521</v>
      </c>
      <c r="B364" s="24">
        <v>65</v>
      </c>
      <c r="D364" s="23" t="s">
        <v>4917</v>
      </c>
      <c r="E364" t="s">
        <v>16</v>
      </c>
    </row>
    <row r="365" spans="1:5" x14ac:dyDescent="0.25">
      <c r="A365" s="23" t="s">
        <v>522</v>
      </c>
      <c r="B365" s="24">
        <v>65</v>
      </c>
      <c r="D365" s="23" t="s">
        <v>4918</v>
      </c>
      <c r="E365" t="s">
        <v>16</v>
      </c>
    </row>
    <row r="366" spans="1:5" x14ac:dyDescent="0.25">
      <c r="A366" s="23" t="s">
        <v>523</v>
      </c>
      <c r="B366" s="24">
        <v>65</v>
      </c>
      <c r="D366" s="23" t="s">
        <v>4919</v>
      </c>
      <c r="E366" t="s">
        <v>16</v>
      </c>
    </row>
    <row r="367" spans="1:5" x14ac:dyDescent="0.25">
      <c r="A367" s="23" t="s">
        <v>524</v>
      </c>
      <c r="B367" s="24">
        <v>65</v>
      </c>
      <c r="D367" s="23" t="s">
        <v>4920</v>
      </c>
      <c r="E367" t="s">
        <v>16</v>
      </c>
    </row>
    <row r="368" spans="1:5" x14ac:dyDescent="0.25">
      <c r="A368" s="23" t="s">
        <v>525</v>
      </c>
      <c r="B368" s="24">
        <v>65</v>
      </c>
      <c r="D368" s="23" t="s">
        <v>4921</v>
      </c>
      <c r="E368" t="s">
        <v>16</v>
      </c>
    </row>
    <row r="369" spans="1:5" x14ac:dyDescent="0.25">
      <c r="A369" s="23" t="s">
        <v>526</v>
      </c>
      <c r="B369" s="24">
        <v>65</v>
      </c>
      <c r="D369" s="23" t="s">
        <v>4922</v>
      </c>
      <c r="E369" t="s">
        <v>16</v>
      </c>
    </row>
    <row r="370" spans="1:5" x14ac:dyDescent="0.25">
      <c r="A370" s="23" t="s">
        <v>527</v>
      </c>
      <c r="B370" s="24">
        <v>65</v>
      </c>
      <c r="D370" s="23" t="s">
        <v>4923</v>
      </c>
      <c r="E370" t="s">
        <v>16</v>
      </c>
    </row>
    <row r="371" spans="1:5" x14ac:dyDescent="0.25">
      <c r="A371" s="23" t="s">
        <v>956</v>
      </c>
      <c r="B371" s="24">
        <v>66</v>
      </c>
      <c r="D371" s="23" t="s">
        <v>4924</v>
      </c>
      <c r="E371" t="s">
        <v>16</v>
      </c>
    </row>
    <row r="372" spans="1:5" x14ac:dyDescent="0.25">
      <c r="A372" s="23" t="s">
        <v>528</v>
      </c>
      <c r="B372" s="24">
        <v>66</v>
      </c>
      <c r="D372" s="23" t="s">
        <v>4925</v>
      </c>
      <c r="E372" t="s">
        <v>16</v>
      </c>
    </row>
    <row r="373" spans="1:5" x14ac:dyDescent="0.25">
      <c r="A373" s="23" t="s">
        <v>529</v>
      </c>
      <c r="B373" s="24">
        <v>66</v>
      </c>
      <c r="D373" s="23" t="s">
        <v>4926</v>
      </c>
      <c r="E373" t="s">
        <v>16</v>
      </c>
    </row>
    <row r="374" spans="1:5" x14ac:dyDescent="0.25">
      <c r="A374" s="23" t="s">
        <v>530</v>
      </c>
      <c r="B374" s="24">
        <v>66</v>
      </c>
      <c r="D374" s="23" t="s">
        <v>4927</v>
      </c>
      <c r="E374" t="s">
        <v>16</v>
      </c>
    </row>
    <row r="375" spans="1:5" x14ac:dyDescent="0.25">
      <c r="A375" s="23" t="s">
        <v>531</v>
      </c>
      <c r="B375" s="24">
        <v>66</v>
      </c>
      <c r="D375" s="23" t="s">
        <v>4928</v>
      </c>
      <c r="E375" t="s">
        <v>16</v>
      </c>
    </row>
    <row r="376" spans="1:5" x14ac:dyDescent="0.25">
      <c r="A376" s="23" t="s">
        <v>532</v>
      </c>
      <c r="B376" s="24">
        <v>66</v>
      </c>
      <c r="D376" s="23" t="s">
        <v>4929</v>
      </c>
      <c r="E376" t="s">
        <v>16</v>
      </c>
    </row>
    <row r="377" spans="1:5" x14ac:dyDescent="0.25">
      <c r="A377" s="23" t="s">
        <v>533</v>
      </c>
      <c r="B377" s="24">
        <v>66</v>
      </c>
      <c r="D377" s="23" t="s">
        <v>4930</v>
      </c>
      <c r="E377" t="s">
        <v>16</v>
      </c>
    </row>
    <row r="378" spans="1:5" x14ac:dyDescent="0.25">
      <c r="A378" s="23" t="s">
        <v>534</v>
      </c>
      <c r="B378" s="24">
        <v>66</v>
      </c>
      <c r="D378" s="23" t="s">
        <v>4931</v>
      </c>
      <c r="E378" t="s">
        <v>16</v>
      </c>
    </row>
    <row r="379" spans="1:5" x14ac:dyDescent="0.25">
      <c r="A379" s="23" t="s">
        <v>535</v>
      </c>
      <c r="B379" s="24">
        <v>66</v>
      </c>
      <c r="D379" s="23" t="s">
        <v>4932</v>
      </c>
      <c r="E379" t="s">
        <v>16</v>
      </c>
    </row>
    <row r="380" spans="1:5" x14ac:dyDescent="0.25">
      <c r="A380" s="23" t="s">
        <v>536</v>
      </c>
      <c r="B380" s="24">
        <v>66</v>
      </c>
      <c r="D380" s="23" t="s">
        <v>4933</v>
      </c>
      <c r="E380" t="s">
        <v>16</v>
      </c>
    </row>
    <row r="381" spans="1:5" x14ac:dyDescent="0.25">
      <c r="A381" s="23" t="s">
        <v>957</v>
      </c>
      <c r="B381" s="24">
        <v>67</v>
      </c>
      <c r="D381" s="23" t="s">
        <v>4934</v>
      </c>
      <c r="E381" t="s">
        <v>16</v>
      </c>
    </row>
    <row r="382" spans="1:5" x14ac:dyDescent="0.25">
      <c r="A382" s="23" t="s">
        <v>537</v>
      </c>
      <c r="B382" s="24">
        <v>67</v>
      </c>
      <c r="D382" s="23" t="s">
        <v>4935</v>
      </c>
      <c r="E382" t="s">
        <v>16</v>
      </c>
    </row>
    <row r="383" spans="1:5" x14ac:dyDescent="0.25">
      <c r="A383" s="23" t="s">
        <v>538</v>
      </c>
      <c r="B383" s="24">
        <v>67</v>
      </c>
      <c r="D383" s="23" t="s">
        <v>4936</v>
      </c>
      <c r="E383" t="s">
        <v>16</v>
      </c>
    </row>
    <row r="384" spans="1:5" x14ac:dyDescent="0.25">
      <c r="A384" s="23" t="s">
        <v>539</v>
      </c>
      <c r="B384" s="24">
        <v>67</v>
      </c>
      <c r="D384" s="23" t="s">
        <v>4937</v>
      </c>
      <c r="E384" t="s">
        <v>16</v>
      </c>
    </row>
    <row r="385" spans="1:5" x14ac:dyDescent="0.25">
      <c r="A385" s="23" t="s">
        <v>540</v>
      </c>
      <c r="B385" s="24">
        <v>67</v>
      </c>
      <c r="D385" s="23" t="s">
        <v>4938</v>
      </c>
      <c r="E385" t="s">
        <v>16</v>
      </c>
    </row>
    <row r="386" spans="1:5" x14ac:dyDescent="0.25">
      <c r="A386" s="23" t="s">
        <v>541</v>
      </c>
      <c r="B386" s="24">
        <v>67</v>
      </c>
      <c r="D386" s="23" t="s">
        <v>4939</v>
      </c>
      <c r="E386" t="s">
        <v>16</v>
      </c>
    </row>
    <row r="387" spans="1:5" x14ac:dyDescent="0.25">
      <c r="A387" s="23" t="s">
        <v>542</v>
      </c>
      <c r="B387" s="24">
        <v>67</v>
      </c>
      <c r="D387" s="23" t="s">
        <v>4940</v>
      </c>
      <c r="E387" t="s">
        <v>16</v>
      </c>
    </row>
    <row r="388" spans="1:5" x14ac:dyDescent="0.25">
      <c r="A388" s="23" t="s">
        <v>543</v>
      </c>
      <c r="B388" s="24">
        <v>67</v>
      </c>
      <c r="D388" s="23" t="s">
        <v>4941</v>
      </c>
      <c r="E388" t="s">
        <v>16</v>
      </c>
    </row>
    <row r="389" spans="1:5" x14ac:dyDescent="0.25">
      <c r="A389" s="23" t="s">
        <v>544</v>
      </c>
      <c r="B389" s="24">
        <v>67</v>
      </c>
      <c r="D389" s="23" t="s">
        <v>4942</v>
      </c>
      <c r="E389" t="s">
        <v>16</v>
      </c>
    </row>
    <row r="390" spans="1:5" x14ac:dyDescent="0.25">
      <c r="A390" s="23" t="s">
        <v>545</v>
      </c>
      <c r="B390" s="24">
        <v>67</v>
      </c>
      <c r="D390" s="23" t="s">
        <v>4943</v>
      </c>
      <c r="E390" t="s">
        <v>16</v>
      </c>
    </row>
    <row r="391" spans="1:5" x14ac:dyDescent="0.25">
      <c r="A391" s="23" t="s">
        <v>958</v>
      </c>
      <c r="B391" s="24">
        <v>69</v>
      </c>
      <c r="D391" s="23" t="s">
        <v>4944</v>
      </c>
      <c r="E391" t="s">
        <v>16</v>
      </c>
    </row>
    <row r="392" spans="1:5" x14ac:dyDescent="0.25">
      <c r="A392" s="23" t="s">
        <v>546</v>
      </c>
      <c r="B392" s="24">
        <v>69</v>
      </c>
      <c r="D392" s="23" t="s">
        <v>4945</v>
      </c>
      <c r="E392" t="s">
        <v>16</v>
      </c>
    </row>
    <row r="393" spans="1:5" x14ac:dyDescent="0.25">
      <c r="A393" s="23" t="s">
        <v>547</v>
      </c>
      <c r="B393" s="24">
        <v>69</v>
      </c>
      <c r="D393" s="23" t="s">
        <v>4946</v>
      </c>
      <c r="E393" t="s">
        <v>16</v>
      </c>
    </row>
    <row r="394" spans="1:5" x14ac:dyDescent="0.25">
      <c r="A394" s="23" t="s">
        <v>548</v>
      </c>
      <c r="B394" s="24">
        <v>69</v>
      </c>
      <c r="D394" s="23" t="s">
        <v>4947</v>
      </c>
      <c r="E394" t="s">
        <v>16</v>
      </c>
    </row>
    <row r="395" spans="1:5" x14ac:dyDescent="0.25">
      <c r="A395" s="23" t="s">
        <v>549</v>
      </c>
      <c r="B395" s="24">
        <v>69</v>
      </c>
      <c r="D395" s="23" t="s">
        <v>4948</v>
      </c>
      <c r="E395" t="s">
        <v>16</v>
      </c>
    </row>
    <row r="396" spans="1:5" x14ac:dyDescent="0.25">
      <c r="A396" s="23" t="s">
        <v>550</v>
      </c>
      <c r="B396" s="24">
        <v>69</v>
      </c>
      <c r="D396" s="23" t="s">
        <v>4949</v>
      </c>
      <c r="E396" t="s">
        <v>16</v>
      </c>
    </row>
    <row r="397" spans="1:5" x14ac:dyDescent="0.25">
      <c r="A397" s="23" t="s">
        <v>551</v>
      </c>
      <c r="B397" s="24">
        <v>69</v>
      </c>
      <c r="D397" s="23" t="s">
        <v>4950</v>
      </c>
      <c r="E397" t="s">
        <v>16</v>
      </c>
    </row>
    <row r="398" spans="1:5" x14ac:dyDescent="0.25">
      <c r="A398" s="23" t="s">
        <v>552</v>
      </c>
      <c r="B398" s="24">
        <v>69</v>
      </c>
      <c r="D398" s="23" t="s">
        <v>4951</v>
      </c>
      <c r="E398" t="s">
        <v>16</v>
      </c>
    </row>
    <row r="399" spans="1:5" x14ac:dyDescent="0.25">
      <c r="A399" s="23" t="s">
        <v>553</v>
      </c>
      <c r="B399" s="24">
        <v>69</v>
      </c>
      <c r="D399" s="23" t="s">
        <v>4952</v>
      </c>
      <c r="E399" t="s">
        <v>16</v>
      </c>
    </row>
    <row r="400" spans="1:5" x14ac:dyDescent="0.25">
      <c r="A400" s="23" t="s">
        <v>554</v>
      </c>
      <c r="B400" s="24">
        <v>69</v>
      </c>
      <c r="D400" s="23" t="s">
        <v>4953</v>
      </c>
      <c r="E400" t="s">
        <v>16</v>
      </c>
    </row>
    <row r="401" spans="1:5" x14ac:dyDescent="0.25">
      <c r="A401" s="23" t="s">
        <v>959</v>
      </c>
      <c r="B401" s="24">
        <v>70</v>
      </c>
      <c r="D401" s="23" t="s">
        <v>4954</v>
      </c>
      <c r="E401" t="s">
        <v>16</v>
      </c>
    </row>
    <row r="402" spans="1:5" x14ac:dyDescent="0.25">
      <c r="A402" t="s">
        <v>555</v>
      </c>
      <c r="B402" s="23">
        <v>0</v>
      </c>
      <c r="D402" s="23" t="s">
        <v>4955</v>
      </c>
      <c r="E402" t="s">
        <v>16</v>
      </c>
    </row>
    <row r="403" spans="1:5" x14ac:dyDescent="0.25">
      <c r="A403" t="s">
        <v>556</v>
      </c>
      <c r="B403" s="23">
        <v>0</v>
      </c>
      <c r="D403" s="23" t="s">
        <v>4956</v>
      </c>
      <c r="E403" t="s">
        <v>130</v>
      </c>
    </row>
    <row r="404" spans="1:5" x14ac:dyDescent="0.25">
      <c r="A404" t="s">
        <v>557</v>
      </c>
      <c r="B404" s="23">
        <v>0</v>
      </c>
      <c r="D404" t="s">
        <v>4957</v>
      </c>
      <c r="E404" t="s">
        <v>130</v>
      </c>
    </row>
    <row r="405" spans="1:5" x14ac:dyDescent="0.25">
      <c r="A405" t="s">
        <v>558</v>
      </c>
      <c r="B405" s="23">
        <v>0</v>
      </c>
      <c r="D405" t="s">
        <v>4958</v>
      </c>
      <c r="E405" t="s">
        <v>130</v>
      </c>
    </row>
    <row r="406" spans="1:5" x14ac:dyDescent="0.25">
      <c r="A406" t="s">
        <v>559</v>
      </c>
      <c r="B406" s="23">
        <v>0</v>
      </c>
      <c r="D406" t="s">
        <v>4959</v>
      </c>
      <c r="E406" t="s">
        <v>130</v>
      </c>
    </row>
    <row r="407" spans="1:5" x14ac:dyDescent="0.25">
      <c r="A407" t="s">
        <v>560</v>
      </c>
      <c r="B407" s="23">
        <v>0</v>
      </c>
      <c r="D407" t="s">
        <v>4960</v>
      </c>
      <c r="E407" t="s">
        <v>130</v>
      </c>
    </row>
    <row r="408" spans="1:5" x14ac:dyDescent="0.25">
      <c r="A408" t="s">
        <v>561</v>
      </c>
      <c r="B408" s="23">
        <v>0</v>
      </c>
      <c r="D408" t="s">
        <v>4961</v>
      </c>
      <c r="E408" t="s">
        <v>130</v>
      </c>
    </row>
    <row r="409" spans="1:5" x14ac:dyDescent="0.25">
      <c r="A409" t="s">
        <v>562</v>
      </c>
      <c r="B409" s="23">
        <v>0</v>
      </c>
      <c r="D409" t="s">
        <v>4962</v>
      </c>
      <c r="E409" t="s">
        <v>130</v>
      </c>
    </row>
    <row r="410" spans="1:5" x14ac:dyDescent="0.25">
      <c r="A410" t="s">
        <v>563</v>
      </c>
      <c r="B410" s="23">
        <v>0</v>
      </c>
      <c r="D410" t="s">
        <v>4963</v>
      </c>
      <c r="E410" t="s">
        <v>130</v>
      </c>
    </row>
    <row r="411" spans="1:5" x14ac:dyDescent="0.25">
      <c r="A411" t="s">
        <v>564</v>
      </c>
      <c r="B411" s="23">
        <v>1</v>
      </c>
      <c r="D411" t="s">
        <v>4964</v>
      </c>
      <c r="E411" t="s">
        <v>130</v>
      </c>
    </row>
    <row r="412" spans="1:5" x14ac:dyDescent="0.25">
      <c r="A412" t="s">
        <v>565</v>
      </c>
      <c r="B412" s="23">
        <v>1</v>
      </c>
      <c r="D412" t="s">
        <v>4965</v>
      </c>
      <c r="E412" t="s">
        <v>130</v>
      </c>
    </row>
    <row r="413" spans="1:5" x14ac:dyDescent="0.25">
      <c r="A413" t="s">
        <v>566</v>
      </c>
      <c r="B413" s="23">
        <v>1</v>
      </c>
      <c r="D413" t="s">
        <v>4966</v>
      </c>
      <c r="E413" t="s">
        <v>130</v>
      </c>
    </row>
    <row r="414" spans="1:5" x14ac:dyDescent="0.25">
      <c r="A414" t="s">
        <v>567</v>
      </c>
      <c r="B414" s="23">
        <v>1</v>
      </c>
      <c r="D414" t="s">
        <v>4967</v>
      </c>
      <c r="E414" t="s">
        <v>130</v>
      </c>
    </row>
    <row r="415" spans="1:5" x14ac:dyDescent="0.25">
      <c r="A415" t="s">
        <v>568</v>
      </c>
      <c r="B415" s="23">
        <v>1</v>
      </c>
      <c r="D415" t="s">
        <v>4968</v>
      </c>
      <c r="E415" t="s">
        <v>130</v>
      </c>
    </row>
    <row r="416" spans="1:5" x14ac:dyDescent="0.25">
      <c r="A416" t="s">
        <v>569</v>
      </c>
      <c r="B416" s="23">
        <v>1</v>
      </c>
      <c r="D416" t="s">
        <v>4969</v>
      </c>
      <c r="E416" t="s">
        <v>130</v>
      </c>
    </row>
    <row r="417" spans="1:5" x14ac:dyDescent="0.25">
      <c r="A417" t="s">
        <v>570</v>
      </c>
      <c r="B417" s="23">
        <v>1</v>
      </c>
      <c r="D417" t="s">
        <v>4970</v>
      </c>
      <c r="E417" t="s">
        <v>130</v>
      </c>
    </row>
    <row r="418" spans="1:5" x14ac:dyDescent="0.25">
      <c r="A418" t="s">
        <v>571</v>
      </c>
      <c r="B418" s="23">
        <v>1</v>
      </c>
      <c r="D418" t="s">
        <v>4971</v>
      </c>
      <c r="E418" t="s">
        <v>130</v>
      </c>
    </row>
    <row r="419" spans="1:5" x14ac:dyDescent="0.25">
      <c r="A419" t="s">
        <v>572</v>
      </c>
      <c r="B419" s="23">
        <v>1</v>
      </c>
      <c r="D419" t="s">
        <v>4972</v>
      </c>
      <c r="E419" t="s">
        <v>130</v>
      </c>
    </row>
    <row r="420" spans="1:5" x14ac:dyDescent="0.25">
      <c r="A420" t="s">
        <v>573</v>
      </c>
      <c r="B420" s="23">
        <v>1</v>
      </c>
      <c r="D420" t="s">
        <v>4973</v>
      </c>
      <c r="E420" t="s">
        <v>130</v>
      </c>
    </row>
    <row r="421" spans="1:5" x14ac:dyDescent="0.25">
      <c r="A421" t="s">
        <v>574</v>
      </c>
      <c r="B421" s="23">
        <v>1</v>
      </c>
      <c r="D421" t="s">
        <v>4974</v>
      </c>
      <c r="E421" t="s">
        <v>130</v>
      </c>
    </row>
    <row r="422" spans="1:5" x14ac:dyDescent="0.25">
      <c r="A422" t="s">
        <v>575</v>
      </c>
      <c r="B422" s="23">
        <v>1</v>
      </c>
      <c r="D422" t="s">
        <v>4975</v>
      </c>
      <c r="E422" t="s">
        <v>130</v>
      </c>
    </row>
    <row r="423" spans="1:5" x14ac:dyDescent="0.25">
      <c r="A423" t="s">
        <v>576</v>
      </c>
      <c r="B423" s="23">
        <v>1</v>
      </c>
      <c r="D423" t="s">
        <v>4976</v>
      </c>
      <c r="E423" t="s">
        <v>130</v>
      </c>
    </row>
    <row r="424" spans="1:5" x14ac:dyDescent="0.25">
      <c r="A424" t="s">
        <v>577</v>
      </c>
      <c r="B424" s="23">
        <v>1</v>
      </c>
      <c r="D424" t="s">
        <v>4977</v>
      </c>
      <c r="E424" t="s">
        <v>130</v>
      </c>
    </row>
    <row r="425" spans="1:5" x14ac:dyDescent="0.25">
      <c r="A425" t="s">
        <v>578</v>
      </c>
      <c r="B425" s="23">
        <v>1</v>
      </c>
      <c r="D425" t="s">
        <v>4978</v>
      </c>
      <c r="E425" t="s">
        <v>130</v>
      </c>
    </row>
    <row r="426" spans="1:5" x14ac:dyDescent="0.25">
      <c r="A426" t="s">
        <v>579</v>
      </c>
      <c r="B426" s="23">
        <v>1</v>
      </c>
      <c r="D426" t="s">
        <v>4979</v>
      </c>
      <c r="E426" t="s">
        <v>130</v>
      </c>
    </row>
    <row r="427" spans="1:5" x14ac:dyDescent="0.25">
      <c r="A427" t="s">
        <v>580</v>
      </c>
      <c r="B427" s="23">
        <v>1</v>
      </c>
      <c r="D427" t="s">
        <v>4980</v>
      </c>
      <c r="E427" t="s">
        <v>130</v>
      </c>
    </row>
    <row r="428" spans="1:5" x14ac:dyDescent="0.25">
      <c r="A428" t="s">
        <v>581</v>
      </c>
      <c r="B428" s="23">
        <v>1</v>
      </c>
      <c r="D428" t="s">
        <v>4981</v>
      </c>
      <c r="E428" t="s">
        <v>130</v>
      </c>
    </row>
    <row r="429" spans="1:5" x14ac:dyDescent="0.25">
      <c r="A429" t="s">
        <v>582</v>
      </c>
      <c r="B429" s="23">
        <v>1</v>
      </c>
      <c r="D429" t="s">
        <v>4982</v>
      </c>
      <c r="E429" t="s">
        <v>130</v>
      </c>
    </row>
    <row r="430" spans="1:5" x14ac:dyDescent="0.25">
      <c r="A430" t="s">
        <v>583</v>
      </c>
      <c r="B430" s="23">
        <v>1</v>
      </c>
      <c r="D430" t="s">
        <v>4983</v>
      </c>
      <c r="E430" t="s">
        <v>130</v>
      </c>
    </row>
    <row r="431" spans="1:5" x14ac:dyDescent="0.25">
      <c r="A431" t="s">
        <v>584</v>
      </c>
      <c r="B431" s="23">
        <v>3</v>
      </c>
      <c r="D431" t="s">
        <v>4984</v>
      </c>
      <c r="E431" t="s">
        <v>130</v>
      </c>
    </row>
    <row r="432" spans="1:5" x14ac:dyDescent="0.25">
      <c r="A432" t="s">
        <v>585</v>
      </c>
      <c r="B432" s="23">
        <v>3</v>
      </c>
      <c r="D432" t="s">
        <v>4985</v>
      </c>
      <c r="E432" t="s">
        <v>130</v>
      </c>
    </row>
    <row r="433" spans="1:5" x14ac:dyDescent="0.25">
      <c r="A433" t="s">
        <v>586</v>
      </c>
      <c r="B433" s="23">
        <v>3</v>
      </c>
      <c r="D433" t="s">
        <v>4986</v>
      </c>
      <c r="E433" t="s">
        <v>131</v>
      </c>
    </row>
    <row r="434" spans="1:5" x14ac:dyDescent="0.25">
      <c r="A434" t="s">
        <v>587</v>
      </c>
      <c r="B434" s="23">
        <v>3</v>
      </c>
      <c r="D434" t="s">
        <v>4987</v>
      </c>
      <c r="E434" t="s">
        <v>131</v>
      </c>
    </row>
    <row r="435" spans="1:5" x14ac:dyDescent="0.25">
      <c r="A435" t="s">
        <v>588</v>
      </c>
      <c r="B435" s="23">
        <v>3</v>
      </c>
      <c r="D435" t="s">
        <v>4988</v>
      </c>
      <c r="E435" t="s">
        <v>131</v>
      </c>
    </row>
    <row r="436" spans="1:5" x14ac:dyDescent="0.25">
      <c r="A436" t="s">
        <v>589</v>
      </c>
      <c r="B436" s="23">
        <v>3</v>
      </c>
      <c r="D436" t="s">
        <v>4989</v>
      </c>
      <c r="E436" t="s">
        <v>131</v>
      </c>
    </row>
    <row r="437" spans="1:5" x14ac:dyDescent="0.25">
      <c r="A437" t="s">
        <v>590</v>
      </c>
      <c r="B437" s="23">
        <v>3</v>
      </c>
      <c r="D437" t="s">
        <v>4990</v>
      </c>
      <c r="E437" t="s">
        <v>131</v>
      </c>
    </row>
    <row r="438" spans="1:5" x14ac:dyDescent="0.25">
      <c r="A438" t="s">
        <v>591</v>
      </c>
      <c r="B438" s="23">
        <v>3</v>
      </c>
      <c r="D438" t="s">
        <v>4991</v>
      </c>
      <c r="E438" t="s">
        <v>131</v>
      </c>
    </row>
    <row r="439" spans="1:5" x14ac:dyDescent="0.25">
      <c r="A439" t="s">
        <v>592</v>
      </c>
      <c r="B439" s="23">
        <v>3</v>
      </c>
      <c r="D439" t="s">
        <v>4992</v>
      </c>
      <c r="E439" t="s">
        <v>131</v>
      </c>
    </row>
    <row r="440" spans="1:5" x14ac:dyDescent="0.25">
      <c r="A440" t="s">
        <v>593</v>
      </c>
      <c r="B440" s="23">
        <v>3</v>
      </c>
      <c r="D440" t="s">
        <v>4993</v>
      </c>
      <c r="E440" t="s">
        <v>131</v>
      </c>
    </row>
    <row r="441" spans="1:5" x14ac:dyDescent="0.25">
      <c r="A441" t="s">
        <v>594</v>
      </c>
      <c r="B441" s="23">
        <v>3</v>
      </c>
      <c r="D441" t="s">
        <v>4994</v>
      </c>
      <c r="E441" t="s">
        <v>131</v>
      </c>
    </row>
    <row r="442" spans="1:5" x14ac:dyDescent="0.25">
      <c r="A442" t="s">
        <v>595</v>
      </c>
      <c r="B442" s="23">
        <v>3</v>
      </c>
      <c r="D442" t="s">
        <v>4995</v>
      </c>
      <c r="E442" t="s">
        <v>131</v>
      </c>
    </row>
    <row r="443" spans="1:5" x14ac:dyDescent="0.25">
      <c r="A443" t="s">
        <v>596</v>
      </c>
      <c r="B443" s="23">
        <v>3</v>
      </c>
      <c r="D443" t="s">
        <v>4996</v>
      </c>
      <c r="E443" t="s">
        <v>131</v>
      </c>
    </row>
    <row r="444" spans="1:5" x14ac:dyDescent="0.25">
      <c r="A444" t="s">
        <v>597</v>
      </c>
      <c r="B444" s="23">
        <v>3</v>
      </c>
      <c r="D444" t="s">
        <v>4997</v>
      </c>
      <c r="E444" t="s">
        <v>131</v>
      </c>
    </row>
    <row r="445" spans="1:5" x14ac:dyDescent="0.25">
      <c r="A445" t="s">
        <v>598</v>
      </c>
      <c r="B445" s="23">
        <v>3</v>
      </c>
      <c r="D445" t="s">
        <v>4998</v>
      </c>
      <c r="E445" t="s">
        <v>131</v>
      </c>
    </row>
    <row r="446" spans="1:5" x14ac:dyDescent="0.25">
      <c r="A446" t="s">
        <v>599</v>
      </c>
      <c r="B446" s="23">
        <v>3</v>
      </c>
      <c r="D446" t="s">
        <v>4999</v>
      </c>
      <c r="E446" t="s">
        <v>131</v>
      </c>
    </row>
    <row r="447" spans="1:5" x14ac:dyDescent="0.25">
      <c r="A447" t="s">
        <v>600</v>
      </c>
      <c r="B447" s="23">
        <v>3</v>
      </c>
      <c r="D447" t="s">
        <v>5000</v>
      </c>
      <c r="E447" t="s">
        <v>131</v>
      </c>
    </row>
    <row r="448" spans="1:5" x14ac:dyDescent="0.25">
      <c r="A448" t="s">
        <v>601</v>
      </c>
      <c r="B448" s="23">
        <v>3</v>
      </c>
      <c r="D448" t="s">
        <v>5001</v>
      </c>
      <c r="E448" t="s">
        <v>131</v>
      </c>
    </row>
    <row r="449" spans="1:5" x14ac:dyDescent="0.25">
      <c r="A449" t="s">
        <v>602</v>
      </c>
      <c r="B449" s="23">
        <v>3</v>
      </c>
      <c r="D449" t="s">
        <v>5002</v>
      </c>
      <c r="E449" t="s">
        <v>131</v>
      </c>
    </row>
    <row r="450" spans="1:5" x14ac:dyDescent="0.25">
      <c r="A450" t="s">
        <v>603</v>
      </c>
      <c r="B450" s="23">
        <v>3</v>
      </c>
      <c r="D450" t="s">
        <v>5003</v>
      </c>
      <c r="E450" t="s">
        <v>131</v>
      </c>
    </row>
    <row r="451" spans="1:5" x14ac:dyDescent="0.25">
      <c r="A451" t="s">
        <v>604</v>
      </c>
      <c r="B451" s="23">
        <v>5</v>
      </c>
      <c r="D451" t="s">
        <v>5004</v>
      </c>
      <c r="E451" t="s">
        <v>131</v>
      </c>
    </row>
    <row r="452" spans="1:5" x14ac:dyDescent="0.25">
      <c r="A452" t="s">
        <v>605</v>
      </c>
      <c r="B452" s="23">
        <v>5</v>
      </c>
      <c r="D452" t="s">
        <v>5005</v>
      </c>
      <c r="E452" t="s">
        <v>131</v>
      </c>
    </row>
    <row r="453" spans="1:5" x14ac:dyDescent="0.25">
      <c r="A453" t="s">
        <v>606</v>
      </c>
      <c r="B453" s="23">
        <v>5</v>
      </c>
      <c r="D453" t="s">
        <v>5006</v>
      </c>
      <c r="E453" t="s">
        <v>131</v>
      </c>
    </row>
    <row r="454" spans="1:5" x14ac:dyDescent="0.25">
      <c r="A454" t="s">
        <v>607</v>
      </c>
      <c r="B454" s="23">
        <v>5</v>
      </c>
      <c r="D454" t="s">
        <v>5007</v>
      </c>
      <c r="E454" t="s">
        <v>131</v>
      </c>
    </row>
    <row r="455" spans="1:5" x14ac:dyDescent="0.25">
      <c r="A455" t="s">
        <v>608</v>
      </c>
      <c r="B455" s="23">
        <v>5</v>
      </c>
      <c r="D455" t="s">
        <v>5008</v>
      </c>
      <c r="E455" t="s">
        <v>131</v>
      </c>
    </row>
    <row r="456" spans="1:5" x14ac:dyDescent="0.25">
      <c r="A456" t="s">
        <v>609</v>
      </c>
      <c r="B456" s="23">
        <v>5</v>
      </c>
      <c r="D456" t="s">
        <v>5009</v>
      </c>
      <c r="E456" t="s">
        <v>131</v>
      </c>
    </row>
    <row r="457" spans="1:5" x14ac:dyDescent="0.25">
      <c r="A457" t="s">
        <v>610</v>
      </c>
      <c r="B457" s="23">
        <v>5</v>
      </c>
      <c r="D457" t="s">
        <v>5010</v>
      </c>
      <c r="E457" t="s">
        <v>131</v>
      </c>
    </row>
    <row r="458" spans="1:5" x14ac:dyDescent="0.25">
      <c r="A458" t="s">
        <v>611</v>
      </c>
      <c r="B458" s="23">
        <v>5</v>
      </c>
      <c r="D458" t="s">
        <v>5011</v>
      </c>
      <c r="E458" t="s">
        <v>131</v>
      </c>
    </row>
    <row r="459" spans="1:5" x14ac:dyDescent="0.25">
      <c r="A459" t="s">
        <v>612</v>
      </c>
      <c r="B459" s="23">
        <v>5</v>
      </c>
      <c r="D459" t="s">
        <v>5012</v>
      </c>
      <c r="E459" t="s">
        <v>131</v>
      </c>
    </row>
    <row r="460" spans="1:5" x14ac:dyDescent="0.25">
      <c r="A460" t="s">
        <v>613</v>
      </c>
      <c r="B460" s="23">
        <v>5</v>
      </c>
      <c r="D460" t="s">
        <v>5013</v>
      </c>
      <c r="E460" t="s">
        <v>131</v>
      </c>
    </row>
    <row r="461" spans="1:5" x14ac:dyDescent="0.25">
      <c r="A461" t="s">
        <v>614</v>
      </c>
      <c r="B461" s="23">
        <v>7</v>
      </c>
      <c r="D461" t="s">
        <v>5014</v>
      </c>
      <c r="E461" t="s">
        <v>131</v>
      </c>
    </row>
    <row r="462" spans="1:5" x14ac:dyDescent="0.25">
      <c r="A462" t="s">
        <v>615</v>
      </c>
      <c r="B462" s="23">
        <v>7</v>
      </c>
      <c r="D462" t="s">
        <v>5015</v>
      </c>
      <c r="E462" t="s">
        <v>131</v>
      </c>
    </row>
    <row r="463" spans="1:5" x14ac:dyDescent="0.25">
      <c r="A463" t="s">
        <v>616</v>
      </c>
      <c r="B463" s="23">
        <v>7</v>
      </c>
      <c r="D463" t="s">
        <v>5016</v>
      </c>
      <c r="E463" t="s">
        <v>132</v>
      </c>
    </row>
    <row r="464" spans="1:5" x14ac:dyDescent="0.25">
      <c r="A464" t="s">
        <v>617</v>
      </c>
      <c r="B464" s="23">
        <v>7</v>
      </c>
      <c r="D464" t="s">
        <v>5017</v>
      </c>
      <c r="E464" t="s">
        <v>132</v>
      </c>
    </row>
    <row r="465" spans="1:5" x14ac:dyDescent="0.25">
      <c r="A465" t="s">
        <v>618</v>
      </c>
      <c r="B465" s="23">
        <v>7</v>
      </c>
      <c r="D465" t="s">
        <v>5018</v>
      </c>
      <c r="E465" t="s">
        <v>132</v>
      </c>
    </row>
    <row r="466" spans="1:5" x14ac:dyDescent="0.25">
      <c r="A466" t="s">
        <v>619</v>
      </c>
      <c r="B466" s="23">
        <v>7</v>
      </c>
      <c r="D466" t="s">
        <v>5019</v>
      </c>
      <c r="E466" t="s">
        <v>132</v>
      </c>
    </row>
    <row r="467" spans="1:5" x14ac:dyDescent="0.25">
      <c r="A467" t="s">
        <v>620</v>
      </c>
      <c r="B467" s="23">
        <v>7</v>
      </c>
      <c r="D467" t="s">
        <v>5020</v>
      </c>
      <c r="E467" t="s">
        <v>132</v>
      </c>
    </row>
    <row r="468" spans="1:5" x14ac:dyDescent="0.25">
      <c r="A468" t="s">
        <v>621</v>
      </c>
      <c r="B468" s="23">
        <v>7</v>
      </c>
      <c r="D468" t="s">
        <v>5021</v>
      </c>
      <c r="E468" t="s">
        <v>132</v>
      </c>
    </row>
    <row r="469" spans="1:5" x14ac:dyDescent="0.25">
      <c r="A469" t="s">
        <v>622</v>
      </c>
      <c r="B469" s="23">
        <v>7</v>
      </c>
      <c r="D469" t="s">
        <v>5022</v>
      </c>
      <c r="E469" t="s">
        <v>132</v>
      </c>
    </row>
    <row r="470" spans="1:5" x14ac:dyDescent="0.25">
      <c r="A470" t="s">
        <v>623</v>
      </c>
      <c r="B470" s="23">
        <v>7</v>
      </c>
      <c r="D470" t="s">
        <v>5023</v>
      </c>
      <c r="E470" t="s">
        <v>132</v>
      </c>
    </row>
    <row r="471" spans="1:5" x14ac:dyDescent="0.25">
      <c r="A471" t="s">
        <v>624</v>
      </c>
      <c r="B471" s="23">
        <v>9</v>
      </c>
      <c r="D471" t="s">
        <v>5024</v>
      </c>
      <c r="E471" t="s">
        <v>132</v>
      </c>
    </row>
    <row r="472" spans="1:5" x14ac:dyDescent="0.25">
      <c r="A472" t="s">
        <v>625</v>
      </c>
      <c r="B472" s="23">
        <v>9</v>
      </c>
      <c r="D472" t="s">
        <v>5025</v>
      </c>
      <c r="E472" t="s">
        <v>132</v>
      </c>
    </row>
    <row r="473" spans="1:5" x14ac:dyDescent="0.25">
      <c r="A473" t="s">
        <v>626</v>
      </c>
      <c r="B473" s="23">
        <v>9</v>
      </c>
      <c r="D473" t="s">
        <v>5026</v>
      </c>
      <c r="E473" t="s">
        <v>132</v>
      </c>
    </row>
    <row r="474" spans="1:5" x14ac:dyDescent="0.25">
      <c r="A474" t="s">
        <v>627</v>
      </c>
      <c r="B474" s="23">
        <v>9</v>
      </c>
      <c r="D474" t="s">
        <v>5027</v>
      </c>
      <c r="E474" t="s">
        <v>132</v>
      </c>
    </row>
    <row r="475" spans="1:5" x14ac:dyDescent="0.25">
      <c r="A475" t="s">
        <v>628</v>
      </c>
      <c r="B475" s="23">
        <v>9</v>
      </c>
      <c r="D475" t="s">
        <v>5028</v>
      </c>
      <c r="E475" t="s">
        <v>132</v>
      </c>
    </row>
    <row r="476" spans="1:5" x14ac:dyDescent="0.25">
      <c r="A476" t="s">
        <v>629</v>
      </c>
      <c r="B476" s="23">
        <v>9</v>
      </c>
      <c r="D476" t="s">
        <v>5029</v>
      </c>
      <c r="E476" t="s">
        <v>132</v>
      </c>
    </row>
    <row r="477" spans="1:5" x14ac:dyDescent="0.25">
      <c r="A477" t="s">
        <v>630</v>
      </c>
      <c r="B477" s="23">
        <v>9</v>
      </c>
      <c r="D477" t="s">
        <v>5030</v>
      </c>
      <c r="E477" t="s">
        <v>132</v>
      </c>
    </row>
    <row r="478" spans="1:5" x14ac:dyDescent="0.25">
      <c r="A478" t="s">
        <v>631</v>
      </c>
      <c r="B478" s="23">
        <v>9</v>
      </c>
      <c r="D478" t="s">
        <v>5031</v>
      </c>
      <c r="E478" t="s">
        <v>132</v>
      </c>
    </row>
    <row r="479" spans="1:5" x14ac:dyDescent="0.25">
      <c r="A479" t="s">
        <v>632</v>
      </c>
      <c r="B479" s="23">
        <v>9</v>
      </c>
      <c r="D479" t="s">
        <v>5032</v>
      </c>
      <c r="E479" t="s">
        <v>132</v>
      </c>
    </row>
    <row r="480" spans="1:5" x14ac:dyDescent="0.25">
      <c r="A480" t="s">
        <v>633</v>
      </c>
      <c r="B480" s="23">
        <v>9</v>
      </c>
      <c r="D480" t="s">
        <v>5033</v>
      </c>
      <c r="E480" t="s">
        <v>132</v>
      </c>
    </row>
    <row r="481" spans="1:5" x14ac:dyDescent="0.25">
      <c r="A481" t="s">
        <v>634</v>
      </c>
      <c r="B481" s="23">
        <v>11</v>
      </c>
      <c r="D481" t="s">
        <v>5034</v>
      </c>
      <c r="E481" t="s">
        <v>132</v>
      </c>
    </row>
    <row r="482" spans="1:5" x14ac:dyDescent="0.25">
      <c r="A482" t="s">
        <v>635</v>
      </c>
      <c r="B482" s="23">
        <v>11</v>
      </c>
      <c r="D482" t="s">
        <v>5035</v>
      </c>
      <c r="E482" t="s">
        <v>132</v>
      </c>
    </row>
    <row r="483" spans="1:5" x14ac:dyDescent="0.25">
      <c r="A483" t="s">
        <v>636</v>
      </c>
      <c r="B483" s="23">
        <v>11</v>
      </c>
      <c r="D483" t="s">
        <v>5036</v>
      </c>
      <c r="E483" t="s">
        <v>133</v>
      </c>
    </row>
    <row r="484" spans="1:5" x14ac:dyDescent="0.25">
      <c r="A484" t="s">
        <v>637</v>
      </c>
      <c r="B484" s="23">
        <v>11</v>
      </c>
      <c r="D484" t="s">
        <v>5037</v>
      </c>
      <c r="E484" t="s">
        <v>133</v>
      </c>
    </row>
    <row r="485" spans="1:5" x14ac:dyDescent="0.25">
      <c r="A485" t="s">
        <v>638</v>
      </c>
      <c r="B485" s="23">
        <v>11</v>
      </c>
      <c r="D485" t="s">
        <v>5038</v>
      </c>
      <c r="E485" t="s">
        <v>133</v>
      </c>
    </row>
    <row r="486" spans="1:5" x14ac:dyDescent="0.25">
      <c r="A486" t="s">
        <v>639</v>
      </c>
      <c r="B486" s="23">
        <v>11</v>
      </c>
      <c r="D486" t="s">
        <v>5039</v>
      </c>
      <c r="E486" t="s">
        <v>133</v>
      </c>
    </row>
    <row r="487" spans="1:5" x14ac:dyDescent="0.25">
      <c r="A487" t="s">
        <v>640</v>
      </c>
      <c r="B487" s="23">
        <v>11</v>
      </c>
      <c r="D487" t="s">
        <v>5040</v>
      </c>
      <c r="E487" t="s">
        <v>133</v>
      </c>
    </row>
    <row r="488" spans="1:5" x14ac:dyDescent="0.25">
      <c r="A488" t="s">
        <v>641</v>
      </c>
      <c r="B488" s="23">
        <v>11</v>
      </c>
      <c r="D488" t="s">
        <v>5041</v>
      </c>
      <c r="E488" t="s">
        <v>133</v>
      </c>
    </row>
    <row r="489" spans="1:5" x14ac:dyDescent="0.25">
      <c r="A489" t="s">
        <v>642</v>
      </c>
      <c r="B489" s="23">
        <v>11</v>
      </c>
      <c r="D489" t="s">
        <v>5042</v>
      </c>
      <c r="E489" t="s">
        <v>133</v>
      </c>
    </row>
    <row r="490" spans="1:5" x14ac:dyDescent="0.25">
      <c r="A490" t="s">
        <v>643</v>
      </c>
      <c r="B490" s="23">
        <v>11</v>
      </c>
      <c r="D490" t="s">
        <v>5043</v>
      </c>
      <c r="E490" t="s">
        <v>133</v>
      </c>
    </row>
    <row r="491" spans="1:5" x14ac:dyDescent="0.25">
      <c r="A491" t="s">
        <v>644</v>
      </c>
      <c r="B491" s="23">
        <v>13</v>
      </c>
      <c r="D491" t="s">
        <v>5044</v>
      </c>
      <c r="E491" t="s">
        <v>133</v>
      </c>
    </row>
    <row r="492" spans="1:5" x14ac:dyDescent="0.25">
      <c r="A492" t="s">
        <v>645</v>
      </c>
      <c r="B492" s="23">
        <v>13</v>
      </c>
      <c r="D492" t="s">
        <v>5045</v>
      </c>
      <c r="E492" t="s">
        <v>133</v>
      </c>
    </row>
    <row r="493" spans="1:5" x14ac:dyDescent="0.25">
      <c r="A493" t="s">
        <v>646</v>
      </c>
      <c r="B493" s="23">
        <v>13</v>
      </c>
      <c r="D493" t="s">
        <v>5046</v>
      </c>
      <c r="E493" t="s">
        <v>133</v>
      </c>
    </row>
    <row r="494" spans="1:5" x14ac:dyDescent="0.25">
      <c r="A494" t="s">
        <v>647</v>
      </c>
      <c r="B494" s="23">
        <v>13</v>
      </c>
      <c r="D494" t="s">
        <v>5047</v>
      </c>
      <c r="E494" t="s">
        <v>133</v>
      </c>
    </row>
    <row r="495" spans="1:5" x14ac:dyDescent="0.25">
      <c r="A495" t="s">
        <v>648</v>
      </c>
      <c r="B495" s="23">
        <v>13</v>
      </c>
      <c r="D495" t="s">
        <v>5048</v>
      </c>
      <c r="E495" t="s">
        <v>133</v>
      </c>
    </row>
    <row r="496" spans="1:5" x14ac:dyDescent="0.25">
      <c r="A496" t="s">
        <v>649</v>
      </c>
      <c r="B496" s="23">
        <v>13</v>
      </c>
      <c r="D496" t="s">
        <v>5049</v>
      </c>
      <c r="E496" t="s">
        <v>133</v>
      </c>
    </row>
    <row r="497" spans="1:5" x14ac:dyDescent="0.25">
      <c r="A497" t="s">
        <v>650</v>
      </c>
      <c r="B497" s="23">
        <v>13</v>
      </c>
      <c r="D497" t="s">
        <v>5050</v>
      </c>
      <c r="E497" t="s">
        <v>133</v>
      </c>
    </row>
    <row r="498" spans="1:5" x14ac:dyDescent="0.25">
      <c r="A498" t="s">
        <v>651</v>
      </c>
      <c r="B498" s="23">
        <v>13</v>
      </c>
      <c r="D498" t="s">
        <v>5051</v>
      </c>
      <c r="E498" t="s">
        <v>133</v>
      </c>
    </row>
    <row r="499" spans="1:5" x14ac:dyDescent="0.25">
      <c r="A499" t="s">
        <v>652</v>
      </c>
      <c r="B499" s="23">
        <v>13</v>
      </c>
      <c r="D499" t="s">
        <v>5052</v>
      </c>
      <c r="E499" t="s">
        <v>133</v>
      </c>
    </row>
    <row r="500" spans="1:5" x14ac:dyDescent="0.25">
      <c r="A500" t="s">
        <v>653</v>
      </c>
      <c r="B500" s="23">
        <v>13</v>
      </c>
      <c r="D500" t="s">
        <v>5053</v>
      </c>
      <c r="E500" t="s">
        <v>133</v>
      </c>
    </row>
    <row r="501" spans="1:5" x14ac:dyDescent="0.25">
      <c r="A501" t="s">
        <v>654</v>
      </c>
      <c r="B501" s="23">
        <v>15</v>
      </c>
      <c r="D501" t="s">
        <v>5054</v>
      </c>
      <c r="E501" t="s">
        <v>133</v>
      </c>
    </row>
    <row r="502" spans="1:5" x14ac:dyDescent="0.25">
      <c r="A502" t="s">
        <v>655</v>
      </c>
      <c r="B502" s="23">
        <v>15</v>
      </c>
      <c r="D502" t="s">
        <v>5055</v>
      </c>
      <c r="E502" t="s">
        <v>133</v>
      </c>
    </row>
    <row r="503" spans="1:5" x14ac:dyDescent="0.25">
      <c r="A503" t="s">
        <v>656</v>
      </c>
      <c r="B503" s="23">
        <v>15</v>
      </c>
      <c r="D503" t="s">
        <v>5056</v>
      </c>
      <c r="E503" t="s">
        <v>134</v>
      </c>
    </row>
    <row r="504" spans="1:5" x14ac:dyDescent="0.25">
      <c r="A504" t="s">
        <v>657</v>
      </c>
      <c r="B504" s="23">
        <v>15</v>
      </c>
      <c r="D504" t="s">
        <v>5057</v>
      </c>
      <c r="E504" t="s">
        <v>134</v>
      </c>
    </row>
    <row r="505" spans="1:5" x14ac:dyDescent="0.25">
      <c r="A505" t="s">
        <v>658</v>
      </c>
      <c r="B505" s="23">
        <v>15</v>
      </c>
      <c r="D505" t="s">
        <v>5058</v>
      </c>
      <c r="E505" t="s">
        <v>134</v>
      </c>
    </row>
    <row r="506" spans="1:5" x14ac:dyDescent="0.25">
      <c r="A506" t="s">
        <v>659</v>
      </c>
      <c r="B506" s="23">
        <v>15</v>
      </c>
      <c r="D506" t="s">
        <v>5059</v>
      </c>
      <c r="E506" t="s">
        <v>134</v>
      </c>
    </row>
    <row r="507" spans="1:5" x14ac:dyDescent="0.25">
      <c r="A507" t="s">
        <v>660</v>
      </c>
      <c r="B507" s="23">
        <v>15</v>
      </c>
      <c r="D507" t="s">
        <v>5060</v>
      </c>
      <c r="E507" t="s">
        <v>134</v>
      </c>
    </row>
    <row r="508" spans="1:5" x14ac:dyDescent="0.25">
      <c r="A508" t="s">
        <v>661</v>
      </c>
      <c r="B508" s="23">
        <v>15</v>
      </c>
      <c r="D508" t="s">
        <v>5061</v>
      </c>
      <c r="E508" t="s">
        <v>134</v>
      </c>
    </row>
    <row r="509" spans="1:5" x14ac:dyDescent="0.25">
      <c r="A509" t="s">
        <v>662</v>
      </c>
      <c r="B509" s="23">
        <v>15</v>
      </c>
      <c r="D509" t="s">
        <v>5062</v>
      </c>
      <c r="E509" t="s">
        <v>134</v>
      </c>
    </row>
    <row r="510" spans="1:5" x14ac:dyDescent="0.25">
      <c r="A510" t="s">
        <v>663</v>
      </c>
      <c r="B510" s="23">
        <v>15</v>
      </c>
      <c r="D510" t="s">
        <v>5063</v>
      </c>
      <c r="E510" t="s">
        <v>134</v>
      </c>
    </row>
    <row r="511" spans="1:5" x14ac:dyDescent="0.25">
      <c r="A511" t="s">
        <v>664</v>
      </c>
      <c r="B511" s="23">
        <v>17</v>
      </c>
      <c r="D511" t="s">
        <v>5064</v>
      </c>
      <c r="E511" t="s">
        <v>134</v>
      </c>
    </row>
    <row r="512" spans="1:5" x14ac:dyDescent="0.25">
      <c r="A512" t="s">
        <v>665</v>
      </c>
      <c r="B512" s="23">
        <v>17</v>
      </c>
      <c r="D512" t="s">
        <v>5065</v>
      </c>
      <c r="E512" t="s">
        <v>134</v>
      </c>
    </row>
    <row r="513" spans="1:5" x14ac:dyDescent="0.25">
      <c r="A513" t="s">
        <v>666</v>
      </c>
      <c r="B513" s="23">
        <v>17</v>
      </c>
      <c r="D513" t="s">
        <v>5066</v>
      </c>
      <c r="E513" t="s">
        <v>135</v>
      </c>
    </row>
    <row r="514" spans="1:5" x14ac:dyDescent="0.25">
      <c r="A514" t="s">
        <v>667</v>
      </c>
      <c r="B514" s="23">
        <v>17</v>
      </c>
      <c r="D514" t="s">
        <v>5067</v>
      </c>
      <c r="E514" t="s">
        <v>135</v>
      </c>
    </row>
    <row r="515" spans="1:5" x14ac:dyDescent="0.25">
      <c r="A515" t="s">
        <v>668</v>
      </c>
      <c r="B515" s="23">
        <v>17</v>
      </c>
      <c r="D515" t="s">
        <v>5068</v>
      </c>
      <c r="E515" t="s">
        <v>135</v>
      </c>
    </row>
    <row r="516" spans="1:5" x14ac:dyDescent="0.25">
      <c r="A516" t="s">
        <v>669</v>
      </c>
      <c r="B516" s="23">
        <v>17</v>
      </c>
      <c r="D516" t="s">
        <v>5069</v>
      </c>
      <c r="E516" t="s">
        <v>135</v>
      </c>
    </row>
    <row r="517" spans="1:5" x14ac:dyDescent="0.25">
      <c r="A517" t="s">
        <v>670</v>
      </c>
      <c r="B517" s="23">
        <v>17</v>
      </c>
      <c r="D517" t="s">
        <v>5070</v>
      </c>
      <c r="E517" t="s">
        <v>135</v>
      </c>
    </row>
    <row r="518" spans="1:5" x14ac:dyDescent="0.25">
      <c r="A518" t="s">
        <v>671</v>
      </c>
      <c r="B518" s="23">
        <v>17</v>
      </c>
      <c r="D518" t="s">
        <v>5071</v>
      </c>
      <c r="E518" t="s">
        <v>135</v>
      </c>
    </row>
    <row r="519" spans="1:5" x14ac:dyDescent="0.25">
      <c r="A519" t="s">
        <v>672</v>
      </c>
      <c r="B519" s="23">
        <v>17</v>
      </c>
      <c r="D519" t="s">
        <v>5072</v>
      </c>
      <c r="E519" t="s">
        <v>135</v>
      </c>
    </row>
    <row r="520" spans="1:5" x14ac:dyDescent="0.25">
      <c r="A520" t="s">
        <v>673</v>
      </c>
      <c r="B520" s="23">
        <v>17</v>
      </c>
      <c r="D520" t="s">
        <v>5073</v>
      </c>
      <c r="E520" t="s">
        <v>135</v>
      </c>
    </row>
    <row r="521" spans="1:5" x14ac:dyDescent="0.25">
      <c r="A521" t="s">
        <v>674</v>
      </c>
      <c r="B521" s="23">
        <v>19</v>
      </c>
      <c r="D521" t="s">
        <v>5074</v>
      </c>
      <c r="E521" t="s">
        <v>135</v>
      </c>
    </row>
    <row r="522" spans="1:5" x14ac:dyDescent="0.25">
      <c r="A522" t="s">
        <v>675</v>
      </c>
      <c r="B522" s="23">
        <v>19</v>
      </c>
      <c r="D522" t="s">
        <v>5075</v>
      </c>
      <c r="E522" t="s">
        <v>135</v>
      </c>
    </row>
    <row r="523" spans="1:5" x14ac:dyDescent="0.25">
      <c r="A523" t="s">
        <v>676</v>
      </c>
      <c r="B523" s="23">
        <v>19</v>
      </c>
      <c r="D523" t="s">
        <v>5076</v>
      </c>
      <c r="E523" t="s">
        <v>135</v>
      </c>
    </row>
    <row r="524" spans="1:5" x14ac:dyDescent="0.25">
      <c r="A524" t="s">
        <v>677</v>
      </c>
      <c r="B524" s="23">
        <v>19</v>
      </c>
      <c r="D524" t="s">
        <v>5077</v>
      </c>
      <c r="E524" t="s">
        <v>135</v>
      </c>
    </row>
    <row r="525" spans="1:5" x14ac:dyDescent="0.25">
      <c r="A525" t="s">
        <v>678</v>
      </c>
      <c r="B525" s="23">
        <v>19</v>
      </c>
      <c r="D525" t="s">
        <v>5078</v>
      </c>
      <c r="E525" t="s">
        <v>135</v>
      </c>
    </row>
    <row r="526" spans="1:5" x14ac:dyDescent="0.25">
      <c r="A526" t="s">
        <v>679</v>
      </c>
      <c r="B526" s="23">
        <v>19</v>
      </c>
      <c r="D526" t="s">
        <v>5079</v>
      </c>
      <c r="E526" t="s">
        <v>135</v>
      </c>
    </row>
    <row r="527" spans="1:5" x14ac:dyDescent="0.25">
      <c r="A527" t="s">
        <v>680</v>
      </c>
      <c r="B527" s="23">
        <v>19</v>
      </c>
      <c r="D527" t="s">
        <v>5080</v>
      </c>
      <c r="E527" t="s">
        <v>135</v>
      </c>
    </row>
    <row r="528" spans="1:5" x14ac:dyDescent="0.25">
      <c r="A528" t="s">
        <v>681</v>
      </c>
      <c r="B528" s="23">
        <v>19</v>
      </c>
      <c r="D528" t="s">
        <v>5081</v>
      </c>
      <c r="E528" t="s">
        <v>136</v>
      </c>
    </row>
    <row r="529" spans="1:5" x14ac:dyDescent="0.25">
      <c r="A529" t="s">
        <v>682</v>
      </c>
      <c r="B529" s="23">
        <v>19</v>
      </c>
      <c r="D529" t="s">
        <v>5082</v>
      </c>
      <c r="E529" t="s">
        <v>136</v>
      </c>
    </row>
    <row r="530" spans="1:5" x14ac:dyDescent="0.25">
      <c r="A530" t="s">
        <v>683</v>
      </c>
      <c r="B530" s="23">
        <v>19</v>
      </c>
      <c r="D530" t="s">
        <v>5083</v>
      </c>
      <c r="E530" t="s">
        <v>136</v>
      </c>
    </row>
    <row r="531" spans="1:5" x14ac:dyDescent="0.25">
      <c r="A531" t="s">
        <v>684</v>
      </c>
      <c r="B531" s="23">
        <v>21</v>
      </c>
      <c r="D531" t="s">
        <v>5084</v>
      </c>
      <c r="E531" t="s">
        <v>136</v>
      </c>
    </row>
    <row r="532" spans="1:5" x14ac:dyDescent="0.25">
      <c r="A532" t="s">
        <v>685</v>
      </c>
      <c r="B532" s="23">
        <v>21</v>
      </c>
      <c r="D532" t="s">
        <v>5085</v>
      </c>
      <c r="E532" t="s">
        <v>136</v>
      </c>
    </row>
    <row r="533" spans="1:5" x14ac:dyDescent="0.25">
      <c r="A533" t="s">
        <v>686</v>
      </c>
      <c r="B533" s="23">
        <v>21</v>
      </c>
      <c r="D533" t="s">
        <v>5086</v>
      </c>
      <c r="E533" t="s">
        <v>136</v>
      </c>
    </row>
    <row r="534" spans="1:5" x14ac:dyDescent="0.25">
      <c r="A534" t="s">
        <v>687</v>
      </c>
      <c r="B534" s="23">
        <v>21</v>
      </c>
      <c r="D534" t="s">
        <v>5087</v>
      </c>
      <c r="E534" t="s">
        <v>136</v>
      </c>
    </row>
    <row r="535" spans="1:5" x14ac:dyDescent="0.25">
      <c r="A535" t="s">
        <v>688</v>
      </c>
      <c r="B535" s="23">
        <v>21</v>
      </c>
      <c r="D535" t="s">
        <v>5088</v>
      </c>
      <c r="E535" t="s">
        <v>136</v>
      </c>
    </row>
    <row r="536" spans="1:5" x14ac:dyDescent="0.25">
      <c r="A536" t="s">
        <v>689</v>
      </c>
      <c r="B536" s="23">
        <v>21</v>
      </c>
      <c r="D536" t="s">
        <v>5089</v>
      </c>
      <c r="E536" t="s">
        <v>136</v>
      </c>
    </row>
    <row r="537" spans="1:5" x14ac:dyDescent="0.25">
      <c r="A537" t="s">
        <v>690</v>
      </c>
      <c r="B537" s="23">
        <v>21</v>
      </c>
      <c r="D537" t="s">
        <v>5090</v>
      </c>
      <c r="E537" t="s">
        <v>136</v>
      </c>
    </row>
    <row r="538" spans="1:5" x14ac:dyDescent="0.25">
      <c r="A538" t="s">
        <v>691</v>
      </c>
      <c r="B538" s="23">
        <v>21</v>
      </c>
      <c r="D538" t="s">
        <v>5091</v>
      </c>
      <c r="E538" t="s">
        <v>136</v>
      </c>
    </row>
    <row r="539" spans="1:5" x14ac:dyDescent="0.25">
      <c r="A539" t="s">
        <v>692</v>
      </c>
      <c r="B539" s="23">
        <v>21</v>
      </c>
      <c r="D539" t="s">
        <v>5092</v>
      </c>
      <c r="E539" t="s">
        <v>136</v>
      </c>
    </row>
    <row r="540" spans="1:5" x14ac:dyDescent="0.25">
      <c r="A540" t="s">
        <v>693</v>
      </c>
      <c r="B540" s="23">
        <v>21</v>
      </c>
      <c r="D540" t="s">
        <v>5093</v>
      </c>
      <c r="E540" t="s">
        <v>136</v>
      </c>
    </row>
    <row r="541" spans="1:5" x14ac:dyDescent="0.25">
      <c r="A541" t="s">
        <v>694</v>
      </c>
      <c r="B541" s="23">
        <v>23</v>
      </c>
      <c r="D541" t="s">
        <v>5094</v>
      </c>
      <c r="E541" t="s">
        <v>136</v>
      </c>
    </row>
    <row r="542" spans="1:5" x14ac:dyDescent="0.25">
      <c r="A542" t="s">
        <v>695</v>
      </c>
      <c r="B542" s="23">
        <v>23</v>
      </c>
      <c r="D542" t="s">
        <v>5095</v>
      </c>
      <c r="E542" t="s">
        <v>136</v>
      </c>
    </row>
    <row r="543" spans="1:5" x14ac:dyDescent="0.25">
      <c r="A543" t="s">
        <v>696</v>
      </c>
      <c r="B543" s="23">
        <v>23</v>
      </c>
      <c r="D543" t="s">
        <v>5096</v>
      </c>
      <c r="E543" t="s">
        <v>137</v>
      </c>
    </row>
    <row r="544" spans="1:5" x14ac:dyDescent="0.25">
      <c r="A544" t="s">
        <v>697</v>
      </c>
      <c r="B544" s="23">
        <v>23</v>
      </c>
      <c r="D544" t="s">
        <v>5097</v>
      </c>
      <c r="E544" t="s">
        <v>137</v>
      </c>
    </row>
    <row r="545" spans="1:5" x14ac:dyDescent="0.25">
      <c r="A545" t="s">
        <v>698</v>
      </c>
      <c r="B545" s="23">
        <v>23</v>
      </c>
      <c r="D545" t="s">
        <v>5098</v>
      </c>
      <c r="E545" t="s">
        <v>137</v>
      </c>
    </row>
    <row r="546" spans="1:5" x14ac:dyDescent="0.25">
      <c r="A546" t="s">
        <v>699</v>
      </c>
      <c r="B546" s="23">
        <v>23</v>
      </c>
      <c r="D546" t="s">
        <v>5099</v>
      </c>
      <c r="E546" t="s">
        <v>137</v>
      </c>
    </row>
    <row r="547" spans="1:5" x14ac:dyDescent="0.25">
      <c r="A547" t="s">
        <v>700</v>
      </c>
      <c r="B547" s="23">
        <v>23</v>
      </c>
      <c r="D547" t="s">
        <v>5100</v>
      </c>
      <c r="E547" t="s">
        <v>137</v>
      </c>
    </row>
    <row r="548" spans="1:5" x14ac:dyDescent="0.25">
      <c r="A548" t="s">
        <v>701</v>
      </c>
      <c r="B548" s="23">
        <v>23</v>
      </c>
      <c r="D548" t="s">
        <v>5101</v>
      </c>
      <c r="E548" t="s">
        <v>137</v>
      </c>
    </row>
    <row r="549" spans="1:5" x14ac:dyDescent="0.25">
      <c r="A549" t="s">
        <v>702</v>
      </c>
      <c r="B549" s="23">
        <v>23</v>
      </c>
      <c r="D549" t="s">
        <v>5102</v>
      </c>
      <c r="E549" t="s">
        <v>137</v>
      </c>
    </row>
    <row r="550" spans="1:5" x14ac:dyDescent="0.25">
      <c r="A550" t="s">
        <v>703</v>
      </c>
      <c r="B550" s="23">
        <v>23</v>
      </c>
      <c r="D550" t="s">
        <v>5103</v>
      </c>
      <c r="E550" t="s">
        <v>137</v>
      </c>
    </row>
    <row r="551" spans="1:5" x14ac:dyDescent="0.25">
      <c r="A551" t="s">
        <v>704</v>
      </c>
      <c r="B551" s="23">
        <v>25</v>
      </c>
      <c r="D551" t="s">
        <v>5104</v>
      </c>
      <c r="E551" t="s">
        <v>137</v>
      </c>
    </row>
    <row r="552" spans="1:5" x14ac:dyDescent="0.25">
      <c r="A552" t="s">
        <v>705</v>
      </c>
      <c r="B552" s="23">
        <v>25</v>
      </c>
      <c r="D552" t="s">
        <v>5105</v>
      </c>
      <c r="E552" t="s">
        <v>137</v>
      </c>
    </row>
    <row r="553" spans="1:5" x14ac:dyDescent="0.25">
      <c r="A553" t="s">
        <v>706</v>
      </c>
      <c r="B553" s="23">
        <v>25</v>
      </c>
      <c r="D553" t="s">
        <v>5106</v>
      </c>
      <c r="E553" t="s">
        <v>138</v>
      </c>
    </row>
    <row r="554" spans="1:5" x14ac:dyDescent="0.25">
      <c r="A554" t="s">
        <v>707</v>
      </c>
      <c r="B554" s="23">
        <v>25</v>
      </c>
      <c r="D554" t="s">
        <v>5107</v>
      </c>
      <c r="E554" t="s">
        <v>138</v>
      </c>
    </row>
    <row r="555" spans="1:5" x14ac:dyDescent="0.25">
      <c r="A555" t="s">
        <v>708</v>
      </c>
      <c r="B555" s="23">
        <v>25</v>
      </c>
      <c r="D555" t="s">
        <v>5108</v>
      </c>
      <c r="E555" t="s">
        <v>138</v>
      </c>
    </row>
    <row r="556" spans="1:5" x14ac:dyDescent="0.25">
      <c r="A556" t="s">
        <v>709</v>
      </c>
      <c r="B556" s="23">
        <v>25</v>
      </c>
      <c r="D556" t="s">
        <v>5109</v>
      </c>
      <c r="E556" t="s">
        <v>138</v>
      </c>
    </row>
    <row r="557" spans="1:5" x14ac:dyDescent="0.25">
      <c r="A557" t="s">
        <v>710</v>
      </c>
      <c r="B557" s="23">
        <v>25</v>
      </c>
      <c r="D557" t="s">
        <v>5110</v>
      </c>
      <c r="E557" t="s">
        <v>138</v>
      </c>
    </row>
    <row r="558" spans="1:5" x14ac:dyDescent="0.25">
      <c r="A558" t="s">
        <v>711</v>
      </c>
      <c r="B558" s="23">
        <v>25</v>
      </c>
      <c r="D558" t="s">
        <v>5111</v>
      </c>
      <c r="E558" t="s">
        <v>138</v>
      </c>
    </row>
    <row r="559" spans="1:5" x14ac:dyDescent="0.25">
      <c r="A559" t="s">
        <v>712</v>
      </c>
      <c r="B559" s="23">
        <v>25</v>
      </c>
      <c r="D559" t="s">
        <v>5112</v>
      </c>
      <c r="E559" t="s">
        <v>138</v>
      </c>
    </row>
    <row r="560" spans="1:5" x14ac:dyDescent="0.25">
      <c r="A560" t="s">
        <v>713</v>
      </c>
      <c r="B560" s="23">
        <v>25</v>
      </c>
      <c r="D560" t="s">
        <v>5113</v>
      </c>
      <c r="E560" t="s">
        <v>138</v>
      </c>
    </row>
    <row r="561" spans="1:5" x14ac:dyDescent="0.25">
      <c r="A561" t="s">
        <v>714</v>
      </c>
      <c r="B561" s="23">
        <v>28</v>
      </c>
      <c r="D561" t="s">
        <v>5114</v>
      </c>
      <c r="E561" t="s">
        <v>138</v>
      </c>
    </row>
    <row r="562" spans="1:5" x14ac:dyDescent="0.25">
      <c r="A562" t="s">
        <v>715</v>
      </c>
      <c r="B562" s="23">
        <v>28</v>
      </c>
      <c r="D562" t="s">
        <v>5115</v>
      </c>
      <c r="E562" t="s">
        <v>138</v>
      </c>
    </row>
    <row r="563" spans="1:5" x14ac:dyDescent="0.25">
      <c r="A563" t="s">
        <v>716</v>
      </c>
      <c r="B563" s="23">
        <v>28</v>
      </c>
      <c r="D563" t="s">
        <v>5116</v>
      </c>
      <c r="E563" t="s">
        <v>139</v>
      </c>
    </row>
    <row r="564" spans="1:5" x14ac:dyDescent="0.25">
      <c r="A564" t="s">
        <v>717</v>
      </c>
      <c r="B564" s="23">
        <v>28</v>
      </c>
      <c r="D564" t="s">
        <v>5117</v>
      </c>
      <c r="E564" t="s">
        <v>139</v>
      </c>
    </row>
    <row r="565" spans="1:5" x14ac:dyDescent="0.25">
      <c r="A565" t="s">
        <v>718</v>
      </c>
      <c r="B565" s="23">
        <v>28</v>
      </c>
      <c r="D565" t="s">
        <v>5118</v>
      </c>
      <c r="E565" t="s">
        <v>139</v>
      </c>
    </row>
    <row r="566" spans="1:5" x14ac:dyDescent="0.25">
      <c r="A566" t="s">
        <v>719</v>
      </c>
      <c r="B566" s="23">
        <v>28</v>
      </c>
      <c r="D566" t="s">
        <v>5119</v>
      </c>
      <c r="E566" t="s">
        <v>139</v>
      </c>
    </row>
    <row r="567" spans="1:5" x14ac:dyDescent="0.25">
      <c r="A567" t="s">
        <v>720</v>
      </c>
      <c r="B567" s="23">
        <v>28</v>
      </c>
      <c r="D567" t="s">
        <v>5120</v>
      </c>
      <c r="E567" t="s">
        <v>139</v>
      </c>
    </row>
    <row r="568" spans="1:5" x14ac:dyDescent="0.25">
      <c r="A568" t="s">
        <v>721</v>
      </c>
      <c r="B568" s="23">
        <v>28</v>
      </c>
      <c r="D568" t="s">
        <v>5121</v>
      </c>
      <c r="E568" t="s">
        <v>139</v>
      </c>
    </row>
    <row r="569" spans="1:5" x14ac:dyDescent="0.25">
      <c r="A569" t="s">
        <v>722</v>
      </c>
      <c r="B569" s="23">
        <v>28</v>
      </c>
      <c r="D569" t="s">
        <v>5122</v>
      </c>
      <c r="E569" t="s">
        <v>139</v>
      </c>
    </row>
    <row r="570" spans="1:5" x14ac:dyDescent="0.25">
      <c r="A570" t="s">
        <v>723</v>
      </c>
      <c r="B570" s="23">
        <v>28</v>
      </c>
      <c r="D570" t="s">
        <v>5123</v>
      </c>
      <c r="E570" t="s">
        <v>139</v>
      </c>
    </row>
    <row r="571" spans="1:5" x14ac:dyDescent="0.25">
      <c r="A571" t="s">
        <v>724</v>
      </c>
      <c r="B571" s="23">
        <v>31</v>
      </c>
      <c r="D571" t="s">
        <v>5124</v>
      </c>
      <c r="E571" t="s">
        <v>139</v>
      </c>
    </row>
    <row r="572" spans="1:5" x14ac:dyDescent="0.25">
      <c r="A572" t="s">
        <v>725</v>
      </c>
      <c r="B572" s="23">
        <v>31</v>
      </c>
      <c r="D572" t="s">
        <v>5125</v>
      </c>
      <c r="E572" t="s">
        <v>139</v>
      </c>
    </row>
    <row r="573" spans="1:5" x14ac:dyDescent="0.25">
      <c r="A573" t="s">
        <v>726</v>
      </c>
      <c r="B573" s="23">
        <v>31</v>
      </c>
      <c r="D573" t="s">
        <v>5126</v>
      </c>
      <c r="E573" t="s">
        <v>18</v>
      </c>
    </row>
    <row r="574" spans="1:5" x14ac:dyDescent="0.25">
      <c r="A574" t="s">
        <v>727</v>
      </c>
      <c r="B574" s="23">
        <v>31</v>
      </c>
      <c r="D574" t="s">
        <v>5127</v>
      </c>
      <c r="E574" t="s">
        <v>18</v>
      </c>
    </row>
    <row r="575" spans="1:5" x14ac:dyDescent="0.25">
      <c r="A575" t="s">
        <v>728</v>
      </c>
      <c r="B575" s="23">
        <v>31</v>
      </c>
      <c r="D575" t="s">
        <v>5128</v>
      </c>
      <c r="E575" t="s">
        <v>18</v>
      </c>
    </row>
    <row r="576" spans="1:5" x14ac:dyDescent="0.25">
      <c r="A576" t="s">
        <v>729</v>
      </c>
      <c r="B576" s="23">
        <v>31</v>
      </c>
      <c r="D576" t="s">
        <v>5129</v>
      </c>
      <c r="E576" t="s">
        <v>18</v>
      </c>
    </row>
    <row r="577" spans="1:5" x14ac:dyDescent="0.25">
      <c r="A577" t="s">
        <v>730</v>
      </c>
      <c r="B577" s="23">
        <v>31</v>
      </c>
      <c r="D577" t="s">
        <v>5130</v>
      </c>
      <c r="E577" t="s">
        <v>18</v>
      </c>
    </row>
    <row r="578" spans="1:5" x14ac:dyDescent="0.25">
      <c r="A578" t="s">
        <v>731</v>
      </c>
      <c r="B578" s="23">
        <v>31</v>
      </c>
      <c r="D578" t="s">
        <v>5131</v>
      </c>
      <c r="E578" t="s">
        <v>18</v>
      </c>
    </row>
    <row r="579" spans="1:5" x14ac:dyDescent="0.25">
      <c r="A579" t="s">
        <v>732</v>
      </c>
      <c r="B579" s="23">
        <v>31</v>
      </c>
      <c r="D579" t="s">
        <v>5132</v>
      </c>
      <c r="E579" t="s">
        <v>18</v>
      </c>
    </row>
    <row r="580" spans="1:5" x14ac:dyDescent="0.25">
      <c r="A580" t="s">
        <v>733</v>
      </c>
      <c r="B580" s="23">
        <v>31</v>
      </c>
      <c r="D580" t="s">
        <v>5133</v>
      </c>
      <c r="E580" t="s">
        <v>18</v>
      </c>
    </row>
    <row r="581" spans="1:5" x14ac:dyDescent="0.25">
      <c r="A581" t="s">
        <v>734</v>
      </c>
      <c r="B581" s="23">
        <v>34</v>
      </c>
      <c r="D581" t="s">
        <v>5134</v>
      </c>
      <c r="E581" t="s">
        <v>18</v>
      </c>
    </row>
    <row r="582" spans="1:5" x14ac:dyDescent="0.25">
      <c r="A582" t="s">
        <v>735</v>
      </c>
      <c r="B582" s="23">
        <v>34</v>
      </c>
      <c r="D582" t="s">
        <v>5135</v>
      </c>
      <c r="E582" t="s">
        <v>18</v>
      </c>
    </row>
    <row r="583" spans="1:5" x14ac:dyDescent="0.25">
      <c r="A583" t="s">
        <v>736</v>
      </c>
      <c r="B583" s="23">
        <v>34</v>
      </c>
      <c r="D583" t="s">
        <v>5136</v>
      </c>
      <c r="E583" t="s">
        <v>18</v>
      </c>
    </row>
    <row r="584" spans="1:5" x14ac:dyDescent="0.25">
      <c r="A584" t="s">
        <v>737</v>
      </c>
      <c r="B584" s="23">
        <v>34</v>
      </c>
      <c r="D584" t="s">
        <v>5137</v>
      </c>
      <c r="E584" t="s">
        <v>18</v>
      </c>
    </row>
    <row r="585" spans="1:5" x14ac:dyDescent="0.25">
      <c r="A585" t="s">
        <v>738</v>
      </c>
      <c r="B585" s="23">
        <v>34</v>
      </c>
      <c r="D585" t="s">
        <v>5138</v>
      </c>
      <c r="E585" t="s">
        <v>18</v>
      </c>
    </row>
    <row r="586" spans="1:5" x14ac:dyDescent="0.25">
      <c r="A586" t="s">
        <v>739</v>
      </c>
      <c r="B586" s="23">
        <v>34</v>
      </c>
      <c r="D586" t="s">
        <v>5139</v>
      </c>
      <c r="E586" t="s">
        <v>18</v>
      </c>
    </row>
    <row r="587" spans="1:5" x14ac:dyDescent="0.25">
      <c r="A587" t="s">
        <v>740</v>
      </c>
      <c r="B587" s="23">
        <v>34</v>
      </c>
      <c r="D587" t="s">
        <v>5140</v>
      </c>
      <c r="E587" t="s">
        <v>18</v>
      </c>
    </row>
    <row r="588" spans="1:5" x14ac:dyDescent="0.25">
      <c r="A588" t="s">
        <v>741</v>
      </c>
      <c r="B588" s="23">
        <v>34</v>
      </c>
      <c r="D588" t="s">
        <v>5141</v>
      </c>
      <c r="E588" t="s">
        <v>18</v>
      </c>
    </row>
    <row r="589" spans="1:5" x14ac:dyDescent="0.25">
      <c r="A589" t="s">
        <v>742</v>
      </c>
      <c r="B589" s="23">
        <v>34</v>
      </c>
      <c r="D589" t="s">
        <v>5142</v>
      </c>
      <c r="E589" t="s">
        <v>18</v>
      </c>
    </row>
    <row r="590" spans="1:5" x14ac:dyDescent="0.25">
      <c r="A590" t="s">
        <v>743</v>
      </c>
      <c r="B590" s="23">
        <v>34</v>
      </c>
      <c r="D590" t="s">
        <v>5143</v>
      </c>
      <c r="E590" t="s">
        <v>18</v>
      </c>
    </row>
    <row r="591" spans="1:5" x14ac:dyDescent="0.25">
      <c r="A591" t="s">
        <v>744</v>
      </c>
      <c r="B591" s="23">
        <v>37</v>
      </c>
      <c r="D591" t="s">
        <v>5144</v>
      </c>
      <c r="E591" t="s">
        <v>18</v>
      </c>
    </row>
    <row r="592" spans="1:5" x14ac:dyDescent="0.25">
      <c r="A592" t="s">
        <v>745</v>
      </c>
      <c r="B592" s="23">
        <v>37</v>
      </c>
      <c r="D592" t="s">
        <v>5145</v>
      </c>
      <c r="E592" t="s">
        <v>18</v>
      </c>
    </row>
    <row r="593" spans="1:5" x14ac:dyDescent="0.25">
      <c r="A593" t="s">
        <v>746</v>
      </c>
      <c r="B593" s="23">
        <v>37</v>
      </c>
      <c r="D593" t="s">
        <v>5146</v>
      </c>
      <c r="E593" t="s">
        <v>18</v>
      </c>
    </row>
    <row r="594" spans="1:5" x14ac:dyDescent="0.25">
      <c r="A594" t="s">
        <v>747</v>
      </c>
      <c r="B594" s="23">
        <v>37</v>
      </c>
      <c r="D594" t="s">
        <v>5147</v>
      </c>
      <c r="E594" t="s">
        <v>18</v>
      </c>
    </row>
    <row r="595" spans="1:5" x14ac:dyDescent="0.25">
      <c r="A595" t="s">
        <v>748</v>
      </c>
      <c r="B595" s="23">
        <v>37</v>
      </c>
      <c r="D595" t="s">
        <v>5148</v>
      </c>
      <c r="E595" t="s">
        <v>18</v>
      </c>
    </row>
    <row r="596" spans="1:5" x14ac:dyDescent="0.25">
      <c r="A596" t="s">
        <v>749</v>
      </c>
      <c r="B596" s="23">
        <v>37</v>
      </c>
      <c r="D596" t="s">
        <v>5149</v>
      </c>
      <c r="E596" t="s">
        <v>18</v>
      </c>
    </row>
    <row r="597" spans="1:5" x14ac:dyDescent="0.25">
      <c r="A597" t="s">
        <v>750</v>
      </c>
      <c r="B597" s="23">
        <v>37</v>
      </c>
      <c r="D597" t="s">
        <v>5150</v>
      </c>
      <c r="E597" t="s">
        <v>18</v>
      </c>
    </row>
    <row r="598" spans="1:5" x14ac:dyDescent="0.25">
      <c r="A598" t="s">
        <v>751</v>
      </c>
      <c r="B598" s="23">
        <v>37</v>
      </c>
      <c r="D598" t="s">
        <v>5151</v>
      </c>
      <c r="E598" t="s">
        <v>18</v>
      </c>
    </row>
    <row r="599" spans="1:5" x14ac:dyDescent="0.25">
      <c r="A599" t="s">
        <v>752</v>
      </c>
      <c r="B599" s="23">
        <v>37</v>
      </c>
      <c r="D599" t="s">
        <v>5152</v>
      </c>
      <c r="E599" t="s">
        <v>18</v>
      </c>
    </row>
    <row r="600" spans="1:5" x14ac:dyDescent="0.25">
      <c r="A600" t="s">
        <v>753</v>
      </c>
      <c r="B600" s="23">
        <v>37</v>
      </c>
      <c r="D600" t="s">
        <v>5153</v>
      </c>
      <c r="E600" t="s">
        <v>18</v>
      </c>
    </row>
    <row r="601" spans="1:5" x14ac:dyDescent="0.25">
      <c r="A601" t="s">
        <v>754</v>
      </c>
      <c r="B601" s="23">
        <v>40</v>
      </c>
      <c r="D601" t="s">
        <v>5154</v>
      </c>
      <c r="E601" t="s">
        <v>18</v>
      </c>
    </row>
    <row r="602" spans="1:5" x14ac:dyDescent="0.25">
      <c r="A602" t="s">
        <v>755</v>
      </c>
      <c r="B602" s="23">
        <v>40</v>
      </c>
      <c r="D602" t="s">
        <v>5155</v>
      </c>
      <c r="E602" t="s">
        <v>18</v>
      </c>
    </row>
    <row r="603" spans="1:5" x14ac:dyDescent="0.25">
      <c r="A603" t="s">
        <v>756</v>
      </c>
      <c r="B603" s="23">
        <v>40</v>
      </c>
      <c r="D603" t="s">
        <v>5156</v>
      </c>
      <c r="E603" t="s">
        <v>18</v>
      </c>
    </row>
    <row r="604" spans="1:5" x14ac:dyDescent="0.25">
      <c r="A604" t="s">
        <v>757</v>
      </c>
      <c r="B604" s="23">
        <v>40</v>
      </c>
      <c r="D604" t="s">
        <v>5157</v>
      </c>
      <c r="E604" t="s">
        <v>18</v>
      </c>
    </row>
    <row r="605" spans="1:5" x14ac:dyDescent="0.25">
      <c r="A605" t="s">
        <v>758</v>
      </c>
      <c r="B605" s="23">
        <v>40</v>
      </c>
      <c r="D605" t="s">
        <v>5158</v>
      </c>
      <c r="E605" t="s">
        <v>18</v>
      </c>
    </row>
    <row r="606" spans="1:5" x14ac:dyDescent="0.25">
      <c r="A606" t="s">
        <v>759</v>
      </c>
      <c r="B606" s="23">
        <v>40</v>
      </c>
      <c r="D606" t="s">
        <v>5159</v>
      </c>
      <c r="E606" t="s">
        <v>18</v>
      </c>
    </row>
    <row r="607" spans="1:5" x14ac:dyDescent="0.25">
      <c r="A607" t="s">
        <v>760</v>
      </c>
      <c r="B607" s="23">
        <v>40</v>
      </c>
      <c r="D607" t="s">
        <v>5160</v>
      </c>
      <c r="E607" t="s">
        <v>18</v>
      </c>
    </row>
    <row r="608" spans="1:5" x14ac:dyDescent="0.25">
      <c r="A608" t="s">
        <v>761</v>
      </c>
      <c r="B608" s="23">
        <v>40</v>
      </c>
      <c r="D608" t="s">
        <v>5161</v>
      </c>
      <c r="E608" t="s">
        <v>18</v>
      </c>
    </row>
    <row r="609" spans="1:5" x14ac:dyDescent="0.25">
      <c r="A609" t="s">
        <v>762</v>
      </c>
      <c r="B609" s="23">
        <v>40</v>
      </c>
      <c r="D609" t="s">
        <v>5162</v>
      </c>
      <c r="E609" t="s">
        <v>18</v>
      </c>
    </row>
    <row r="610" spans="1:5" x14ac:dyDescent="0.25">
      <c r="A610" t="s">
        <v>763</v>
      </c>
      <c r="B610" s="23">
        <v>40</v>
      </c>
      <c r="D610" t="s">
        <v>5163</v>
      </c>
      <c r="E610" t="s">
        <v>18</v>
      </c>
    </row>
    <row r="611" spans="1:5" x14ac:dyDescent="0.25">
      <c r="A611" t="s">
        <v>764</v>
      </c>
      <c r="B611" s="23">
        <v>43</v>
      </c>
      <c r="D611" t="s">
        <v>5164</v>
      </c>
      <c r="E611" t="s">
        <v>18</v>
      </c>
    </row>
    <row r="612" spans="1:5" x14ac:dyDescent="0.25">
      <c r="A612" t="s">
        <v>765</v>
      </c>
      <c r="B612" s="23">
        <v>43</v>
      </c>
      <c r="D612" t="s">
        <v>5165</v>
      </c>
      <c r="E612" t="s">
        <v>18</v>
      </c>
    </row>
    <row r="613" spans="1:5" x14ac:dyDescent="0.25">
      <c r="A613" t="s">
        <v>766</v>
      </c>
      <c r="B613" s="23">
        <v>43</v>
      </c>
      <c r="D613" t="s">
        <v>5166</v>
      </c>
      <c r="E613" t="s">
        <v>18</v>
      </c>
    </row>
    <row r="614" spans="1:5" x14ac:dyDescent="0.25">
      <c r="A614" t="s">
        <v>767</v>
      </c>
      <c r="B614" s="23">
        <v>43</v>
      </c>
      <c r="D614" t="s">
        <v>5167</v>
      </c>
      <c r="E614" t="s">
        <v>18</v>
      </c>
    </row>
    <row r="615" spans="1:5" x14ac:dyDescent="0.25">
      <c r="A615" t="s">
        <v>768</v>
      </c>
      <c r="B615" s="23">
        <v>43</v>
      </c>
      <c r="D615" t="s">
        <v>5168</v>
      </c>
      <c r="E615" t="s">
        <v>18</v>
      </c>
    </row>
    <row r="616" spans="1:5" x14ac:dyDescent="0.25">
      <c r="A616" t="s">
        <v>769</v>
      </c>
      <c r="B616" s="23">
        <v>43</v>
      </c>
      <c r="D616" t="s">
        <v>5169</v>
      </c>
      <c r="E616" t="s">
        <v>18</v>
      </c>
    </row>
    <row r="617" spans="1:5" x14ac:dyDescent="0.25">
      <c r="A617" t="s">
        <v>770</v>
      </c>
      <c r="B617" s="23">
        <v>43</v>
      </c>
      <c r="D617" t="s">
        <v>5170</v>
      </c>
      <c r="E617" t="s">
        <v>18</v>
      </c>
    </row>
    <row r="618" spans="1:5" x14ac:dyDescent="0.25">
      <c r="A618" t="s">
        <v>771</v>
      </c>
      <c r="B618" s="23">
        <v>43</v>
      </c>
      <c r="D618" t="s">
        <v>5171</v>
      </c>
      <c r="E618" t="s">
        <v>18</v>
      </c>
    </row>
    <row r="619" spans="1:5" x14ac:dyDescent="0.25">
      <c r="A619" t="s">
        <v>772</v>
      </c>
      <c r="B619" s="23">
        <v>43</v>
      </c>
      <c r="D619" t="s">
        <v>5172</v>
      </c>
      <c r="E619" t="s">
        <v>18</v>
      </c>
    </row>
    <row r="620" spans="1:5" x14ac:dyDescent="0.25">
      <c r="A620" t="s">
        <v>773</v>
      </c>
      <c r="B620" s="23">
        <v>43</v>
      </c>
      <c r="D620" t="s">
        <v>5173</v>
      </c>
      <c r="E620" t="s">
        <v>18</v>
      </c>
    </row>
    <row r="621" spans="1:5" x14ac:dyDescent="0.25">
      <c r="A621" t="s">
        <v>774</v>
      </c>
      <c r="B621" s="23">
        <v>44</v>
      </c>
      <c r="D621" t="s">
        <v>5174</v>
      </c>
      <c r="E621" t="s">
        <v>18</v>
      </c>
    </row>
    <row r="622" spans="1:5" x14ac:dyDescent="0.25">
      <c r="A622" t="s">
        <v>775</v>
      </c>
      <c r="B622" s="23">
        <v>44</v>
      </c>
      <c r="D622" t="s">
        <v>5175</v>
      </c>
      <c r="E622" t="s">
        <v>18</v>
      </c>
    </row>
    <row r="623" spans="1:5" x14ac:dyDescent="0.25">
      <c r="A623" t="s">
        <v>776</v>
      </c>
      <c r="B623" s="23">
        <v>44</v>
      </c>
      <c r="D623" t="s">
        <v>5176</v>
      </c>
      <c r="E623" t="s">
        <v>17</v>
      </c>
    </row>
    <row r="624" spans="1:5" x14ac:dyDescent="0.25">
      <c r="A624" t="s">
        <v>777</v>
      </c>
      <c r="B624" s="23">
        <v>44</v>
      </c>
      <c r="D624" t="s">
        <v>5177</v>
      </c>
      <c r="E624" t="s">
        <v>17</v>
      </c>
    </row>
    <row r="625" spans="1:5" x14ac:dyDescent="0.25">
      <c r="A625" t="s">
        <v>778</v>
      </c>
      <c r="B625" s="23">
        <v>44</v>
      </c>
      <c r="D625" t="s">
        <v>5178</v>
      </c>
      <c r="E625" t="s">
        <v>17</v>
      </c>
    </row>
    <row r="626" spans="1:5" x14ac:dyDescent="0.25">
      <c r="A626" t="s">
        <v>779</v>
      </c>
      <c r="B626" s="23">
        <v>44</v>
      </c>
      <c r="D626" t="s">
        <v>5179</v>
      </c>
      <c r="E626" t="s">
        <v>17</v>
      </c>
    </row>
    <row r="627" spans="1:5" x14ac:dyDescent="0.25">
      <c r="A627" t="s">
        <v>780</v>
      </c>
      <c r="B627" s="23">
        <v>44</v>
      </c>
      <c r="D627" t="s">
        <v>5180</v>
      </c>
      <c r="E627" t="s">
        <v>17</v>
      </c>
    </row>
    <row r="628" spans="1:5" x14ac:dyDescent="0.25">
      <c r="A628" t="s">
        <v>781</v>
      </c>
      <c r="B628" s="23">
        <v>44</v>
      </c>
      <c r="D628" t="s">
        <v>5181</v>
      </c>
      <c r="E628" t="s">
        <v>17</v>
      </c>
    </row>
    <row r="629" spans="1:5" x14ac:dyDescent="0.25">
      <c r="A629" t="s">
        <v>782</v>
      </c>
      <c r="B629" s="23">
        <v>44</v>
      </c>
      <c r="D629" t="s">
        <v>5182</v>
      </c>
      <c r="E629" t="s">
        <v>17</v>
      </c>
    </row>
    <row r="630" spans="1:5" x14ac:dyDescent="0.25">
      <c r="A630" t="s">
        <v>783</v>
      </c>
      <c r="B630" s="23">
        <v>44</v>
      </c>
      <c r="D630" t="s">
        <v>5183</v>
      </c>
      <c r="E630" t="s">
        <v>17</v>
      </c>
    </row>
    <row r="631" spans="1:5" x14ac:dyDescent="0.25">
      <c r="A631" t="s">
        <v>784</v>
      </c>
      <c r="B631" s="23">
        <v>47</v>
      </c>
      <c r="D631" t="s">
        <v>5184</v>
      </c>
      <c r="E631" t="s">
        <v>17</v>
      </c>
    </row>
    <row r="632" spans="1:5" x14ac:dyDescent="0.25">
      <c r="A632" t="s">
        <v>785</v>
      </c>
      <c r="B632" s="23">
        <v>47</v>
      </c>
      <c r="D632" t="s">
        <v>5185</v>
      </c>
      <c r="E632" t="s">
        <v>17</v>
      </c>
    </row>
    <row r="633" spans="1:5" x14ac:dyDescent="0.25">
      <c r="A633" t="s">
        <v>786</v>
      </c>
      <c r="B633" s="23">
        <v>47</v>
      </c>
      <c r="D633" t="s">
        <v>5186</v>
      </c>
      <c r="E633" t="s">
        <v>17</v>
      </c>
    </row>
    <row r="634" spans="1:5" x14ac:dyDescent="0.25">
      <c r="A634" t="s">
        <v>787</v>
      </c>
      <c r="B634" s="23">
        <v>47</v>
      </c>
      <c r="D634" t="s">
        <v>5187</v>
      </c>
      <c r="E634" t="s">
        <v>17</v>
      </c>
    </row>
    <row r="635" spans="1:5" x14ac:dyDescent="0.25">
      <c r="A635" t="s">
        <v>788</v>
      </c>
      <c r="B635" s="23">
        <v>47</v>
      </c>
      <c r="D635" t="s">
        <v>5188</v>
      </c>
      <c r="E635" t="s">
        <v>17</v>
      </c>
    </row>
    <row r="636" spans="1:5" x14ac:dyDescent="0.25">
      <c r="A636" t="s">
        <v>789</v>
      </c>
      <c r="B636" s="23">
        <v>47</v>
      </c>
      <c r="D636" t="s">
        <v>5189</v>
      </c>
      <c r="E636" t="s">
        <v>17</v>
      </c>
    </row>
    <row r="637" spans="1:5" x14ac:dyDescent="0.25">
      <c r="A637" t="s">
        <v>790</v>
      </c>
      <c r="B637" s="23">
        <v>47</v>
      </c>
      <c r="D637" t="s">
        <v>5190</v>
      </c>
      <c r="E637" t="s">
        <v>17</v>
      </c>
    </row>
    <row r="638" spans="1:5" x14ac:dyDescent="0.25">
      <c r="A638" t="s">
        <v>791</v>
      </c>
      <c r="B638" s="23">
        <v>47</v>
      </c>
      <c r="D638" t="s">
        <v>5191</v>
      </c>
      <c r="E638" t="s">
        <v>17</v>
      </c>
    </row>
    <row r="639" spans="1:5" x14ac:dyDescent="0.25">
      <c r="A639" t="s">
        <v>792</v>
      </c>
      <c r="B639" s="23">
        <v>47</v>
      </c>
      <c r="D639" t="s">
        <v>5192</v>
      </c>
      <c r="E639" t="s">
        <v>17</v>
      </c>
    </row>
    <row r="640" spans="1:5" x14ac:dyDescent="0.25">
      <c r="A640" t="s">
        <v>793</v>
      </c>
      <c r="B640" s="23">
        <v>47</v>
      </c>
      <c r="D640" t="s">
        <v>5193</v>
      </c>
      <c r="E640" t="s">
        <v>17</v>
      </c>
    </row>
    <row r="641" spans="1:5" x14ac:dyDescent="0.25">
      <c r="A641" t="s">
        <v>794</v>
      </c>
      <c r="B641" s="23">
        <v>48</v>
      </c>
      <c r="D641" t="s">
        <v>5194</v>
      </c>
      <c r="E641" t="s">
        <v>17</v>
      </c>
    </row>
    <row r="642" spans="1:5" x14ac:dyDescent="0.25">
      <c r="A642" t="s">
        <v>795</v>
      </c>
      <c r="B642" s="23">
        <v>48</v>
      </c>
      <c r="D642" t="s">
        <v>5195</v>
      </c>
      <c r="E642" t="s">
        <v>17</v>
      </c>
    </row>
    <row r="643" spans="1:5" x14ac:dyDescent="0.25">
      <c r="A643" t="s">
        <v>796</v>
      </c>
      <c r="B643" s="23">
        <v>48</v>
      </c>
      <c r="D643" t="s">
        <v>5196</v>
      </c>
      <c r="E643" t="s">
        <v>16</v>
      </c>
    </row>
    <row r="644" spans="1:5" x14ac:dyDescent="0.25">
      <c r="A644" t="s">
        <v>797</v>
      </c>
      <c r="B644" s="23">
        <v>48</v>
      </c>
      <c r="D644" t="s">
        <v>5197</v>
      </c>
      <c r="E644" t="s">
        <v>16</v>
      </c>
    </row>
    <row r="645" spans="1:5" x14ac:dyDescent="0.25">
      <c r="A645" t="s">
        <v>798</v>
      </c>
      <c r="B645" s="23">
        <v>48</v>
      </c>
      <c r="D645" t="s">
        <v>5198</v>
      </c>
      <c r="E645" t="s">
        <v>16</v>
      </c>
    </row>
    <row r="646" spans="1:5" x14ac:dyDescent="0.25">
      <c r="A646" t="s">
        <v>799</v>
      </c>
      <c r="B646" s="23">
        <v>48</v>
      </c>
      <c r="D646" t="s">
        <v>5199</v>
      </c>
      <c r="E646" t="s">
        <v>16</v>
      </c>
    </row>
    <row r="647" spans="1:5" x14ac:dyDescent="0.25">
      <c r="A647" t="s">
        <v>800</v>
      </c>
      <c r="B647" s="23">
        <v>48</v>
      </c>
      <c r="D647" t="s">
        <v>5200</v>
      </c>
      <c r="E647" t="s">
        <v>16</v>
      </c>
    </row>
    <row r="648" spans="1:5" x14ac:dyDescent="0.25">
      <c r="A648" t="s">
        <v>801</v>
      </c>
      <c r="B648" s="23">
        <v>48</v>
      </c>
      <c r="D648" t="s">
        <v>5201</v>
      </c>
      <c r="E648" t="s">
        <v>16</v>
      </c>
    </row>
    <row r="649" spans="1:5" x14ac:dyDescent="0.25">
      <c r="A649" t="s">
        <v>802</v>
      </c>
      <c r="B649" s="23">
        <v>48</v>
      </c>
      <c r="D649" t="s">
        <v>5202</v>
      </c>
      <c r="E649" t="s">
        <v>16</v>
      </c>
    </row>
    <row r="650" spans="1:5" x14ac:dyDescent="0.25">
      <c r="A650" t="s">
        <v>803</v>
      </c>
      <c r="B650" s="23">
        <v>48</v>
      </c>
      <c r="D650" t="s">
        <v>5203</v>
      </c>
      <c r="E650" t="s">
        <v>16</v>
      </c>
    </row>
    <row r="651" spans="1:5" x14ac:dyDescent="0.25">
      <c r="A651" t="s">
        <v>804</v>
      </c>
      <c r="B651" s="23">
        <v>50</v>
      </c>
      <c r="D651" t="s">
        <v>5204</v>
      </c>
      <c r="E651" t="s">
        <v>16</v>
      </c>
    </row>
    <row r="652" spans="1:5" x14ac:dyDescent="0.25">
      <c r="A652" t="s">
        <v>805</v>
      </c>
      <c r="B652" s="23">
        <v>50</v>
      </c>
      <c r="D652" t="s">
        <v>5205</v>
      </c>
      <c r="E652" t="s">
        <v>16</v>
      </c>
    </row>
    <row r="653" spans="1:5" x14ac:dyDescent="0.25">
      <c r="A653" t="s">
        <v>806</v>
      </c>
      <c r="B653" s="23">
        <v>50</v>
      </c>
      <c r="D653" t="s">
        <v>5206</v>
      </c>
      <c r="E653" t="s">
        <v>16</v>
      </c>
    </row>
    <row r="654" spans="1:5" x14ac:dyDescent="0.25">
      <c r="A654" t="s">
        <v>807</v>
      </c>
      <c r="B654" s="23">
        <v>50</v>
      </c>
      <c r="D654" t="s">
        <v>5207</v>
      </c>
      <c r="E654" t="s">
        <v>16</v>
      </c>
    </row>
    <row r="655" spans="1:5" x14ac:dyDescent="0.25">
      <c r="A655" t="s">
        <v>808</v>
      </c>
      <c r="B655" s="23">
        <v>50</v>
      </c>
      <c r="D655" t="s">
        <v>5208</v>
      </c>
      <c r="E655" t="s">
        <v>16</v>
      </c>
    </row>
    <row r="656" spans="1:5" x14ac:dyDescent="0.25">
      <c r="A656" t="s">
        <v>809</v>
      </c>
      <c r="B656" s="23">
        <v>50</v>
      </c>
      <c r="D656" t="s">
        <v>5209</v>
      </c>
      <c r="E656" t="s">
        <v>16</v>
      </c>
    </row>
    <row r="657" spans="1:5" x14ac:dyDescent="0.25">
      <c r="A657" t="s">
        <v>810</v>
      </c>
      <c r="B657" s="23">
        <v>50</v>
      </c>
      <c r="D657" t="s">
        <v>5210</v>
      </c>
      <c r="E657" t="s">
        <v>16</v>
      </c>
    </row>
    <row r="658" spans="1:5" x14ac:dyDescent="0.25">
      <c r="A658" t="s">
        <v>811</v>
      </c>
      <c r="B658" s="23">
        <v>50</v>
      </c>
      <c r="D658" t="s">
        <v>5211</v>
      </c>
      <c r="E658" t="s">
        <v>16</v>
      </c>
    </row>
    <row r="659" spans="1:5" x14ac:dyDescent="0.25">
      <c r="A659" t="s">
        <v>812</v>
      </c>
      <c r="B659" s="23">
        <v>50</v>
      </c>
      <c r="D659" t="s">
        <v>5212</v>
      </c>
      <c r="E659" t="s">
        <v>16</v>
      </c>
    </row>
    <row r="660" spans="1:5" x14ac:dyDescent="0.25">
      <c r="A660" t="s">
        <v>813</v>
      </c>
      <c r="B660" s="23">
        <v>50</v>
      </c>
      <c r="D660" t="s">
        <v>5213</v>
      </c>
      <c r="E660" t="s">
        <v>16</v>
      </c>
    </row>
    <row r="661" spans="1:5" x14ac:dyDescent="0.25">
      <c r="A661" t="s">
        <v>814</v>
      </c>
      <c r="B661" s="23">
        <v>51</v>
      </c>
      <c r="D661" t="s">
        <v>5214</v>
      </c>
      <c r="E661" t="s">
        <v>16</v>
      </c>
    </row>
    <row r="662" spans="1:5" x14ac:dyDescent="0.25">
      <c r="A662" t="s">
        <v>815</v>
      </c>
      <c r="B662" s="23">
        <v>51</v>
      </c>
      <c r="D662" t="s">
        <v>5215</v>
      </c>
      <c r="E662" t="s">
        <v>16</v>
      </c>
    </row>
    <row r="663" spans="1:5" x14ac:dyDescent="0.25">
      <c r="A663" t="s">
        <v>816</v>
      </c>
      <c r="B663" s="23">
        <v>51</v>
      </c>
      <c r="D663" t="s">
        <v>5216</v>
      </c>
      <c r="E663" t="s">
        <v>16</v>
      </c>
    </row>
    <row r="664" spans="1:5" x14ac:dyDescent="0.25">
      <c r="A664" t="s">
        <v>817</v>
      </c>
      <c r="B664" s="23">
        <v>51</v>
      </c>
      <c r="D664" t="s">
        <v>5217</v>
      </c>
      <c r="E664" t="s">
        <v>16</v>
      </c>
    </row>
    <row r="665" spans="1:5" x14ac:dyDescent="0.25">
      <c r="A665" t="s">
        <v>818</v>
      </c>
      <c r="B665" s="23">
        <v>51</v>
      </c>
      <c r="D665" t="s">
        <v>5218</v>
      </c>
      <c r="E665" t="s">
        <v>16</v>
      </c>
    </row>
    <row r="666" spans="1:5" x14ac:dyDescent="0.25">
      <c r="A666" t="s">
        <v>819</v>
      </c>
      <c r="B666" s="23">
        <v>51</v>
      </c>
      <c r="D666" t="s">
        <v>5219</v>
      </c>
      <c r="E666" t="s">
        <v>16</v>
      </c>
    </row>
    <row r="667" spans="1:5" x14ac:dyDescent="0.25">
      <c r="A667" t="s">
        <v>820</v>
      </c>
      <c r="B667" s="23">
        <v>51</v>
      </c>
      <c r="D667" t="s">
        <v>5220</v>
      </c>
      <c r="E667" t="s">
        <v>16</v>
      </c>
    </row>
    <row r="668" spans="1:5" x14ac:dyDescent="0.25">
      <c r="A668" t="s">
        <v>821</v>
      </c>
      <c r="B668" s="23">
        <v>51</v>
      </c>
      <c r="D668" t="s">
        <v>5221</v>
      </c>
      <c r="E668" t="s">
        <v>16</v>
      </c>
    </row>
    <row r="669" spans="1:5" x14ac:dyDescent="0.25">
      <c r="A669" t="s">
        <v>822</v>
      </c>
      <c r="B669" s="23">
        <v>51</v>
      </c>
      <c r="D669" t="s">
        <v>5222</v>
      </c>
      <c r="E669" t="s">
        <v>16</v>
      </c>
    </row>
    <row r="670" spans="1:5" x14ac:dyDescent="0.25">
      <c r="A670" t="s">
        <v>823</v>
      </c>
      <c r="B670" s="23">
        <v>51</v>
      </c>
      <c r="D670" t="s">
        <v>5223</v>
      </c>
      <c r="E670" t="s">
        <v>16</v>
      </c>
    </row>
    <row r="671" spans="1:5" x14ac:dyDescent="0.25">
      <c r="A671" t="s">
        <v>824</v>
      </c>
      <c r="B671" s="23">
        <v>53</v>
      </c>
      <c r="D671" t="s">
        <v>5224</v>
      </c>
      <c r="E671" t="s">
        <v>16</v>
      </c>
    </row>
    <row r="672" spans="1:5" x14ac:dyDescent="0.25">
      <c r="A672" t="s">
        <v>825</v>
      </c>
      <c r="B672" s="23">
        <v>53</v>
      </c>
      <c r="D672" t="s">
        <v>5225</v>
      </c>
      <c r="E672" t="s">
        <v>16</v>
      </c>
    </row>
    <row r="673" spans="1:5" x14ac:dyDescent="0.25">
      <c r="A673" t="s">
        <v>826</v>
      </c>
      <c r="B673" s="23">
        <v>53</v>
      </c>
      <c r="D673" t="s">
        <v>5226</v>
      </c>
      <c r="E673" t="s">
        <v>16</v>
      </c>
    </row>
    <row r="674" spans="1:5" x14ac:dyDescent="0.25">
      <c r="A674" t="s">
        <v>827</v>
      </c>
      <c r="B674" s="23">
        <v>53</v>
      </c>
      <c r="D674" t="s">
        <v>5227</v>
      </c>
      <c r="E674" t="s">
        <v>16</v>
      </c>
    </row>
    <row r="675" spans="1:5" x14ac:dyDescent="0.25">
      <c r="A675" t="s">
        <v>828</v>
      </c>
      <c r="B675" s="23">
        <v>53</v>
      </c>
      <c r="D675" t="s">
        <v>5228</v>
      </c>
      <c r="E675" t="s">
        <v>16</v>
      </c>
    </row>
    <row r="676" spans="1:5" x14ac:dyDescent="0.25">
      <c r="A676" t="s">
        <v>829</v>
      </c>
      <c r="B676" s="23">
        <v>53</v>
      </c>
      <c r="D676" t="s">
        <v>5229</v>
      </c>
      <c r="E676" t="s">
        <v>16</v>
      </c>
    </row>
    <row r="677" spans="1:5" x14ac:dyDescent="0.25">
      <c r="A677" t="s">
        <v>830</v>
      </c>
      <c r="B677" s="23">
        <v>53</v>
      </c>
      <c r="D677" t="s">
        <v>5230</v>
      </c>
      <c r="E677" t="s">
        <v>16</v>
      </c>
    </row>
    <row r="678" spans="1:5" x14ac:dyDescent="0.25">
      <c r="A678" t="s">
        <v>831</v>
      </c>
      <c r="B678" s="23">
        <v>53</v>
      </c>
      <c r="D678" t="s">
        <v>5231</v>
      </c>
      <c r="E678" t="s">
        <v>16</v>
      </c>
    </row>
    <row r="679" spans="1:5" x14ac:dyDescent="0.25">
      <c r="A679" t="s">
        <v>832</v>
      </c>
      <c r="B679" s="23">
        <v>53</v>
      </c>
      <c r="D679" t="s">
        <v>5232</v>
      </c>
      <c r="E679" t="s">
        <v>16</v>
      </c>
    </row>
    <row r="680" spans="1:5" x14ac:dyDescent="0.25">
      <c r="A680" t="s">
        <v>833</v>
      </c>
      <c r="B680" s="23">
        <v>53</v>
      </c>
      <c r="D680" t="s">
        <v>5233</v>
      </c>
      <c r="E680" t="s">
        <v>16</v>
      </c>
    </row>
    <row r="681" spans="1:5" x14ac:dyDescent="0.25">
      <c r="A681" t="s">
        <v>834</v>
      </c>
      <c r="B681" s="23">
        <v>54</v>
      </c>
      <c r="D681" t="s">
        <v>5234</v>
      </c>
      <c r="E681" t="s">
        <v>16</v>
      </c>
    </row>
    <row r="682" spans="1:5" x14ac:dyDescent="0.25">
      <c r="A682" t="s">
        <v>835</v>
      </c>
      <c r="B682" s="23">
        <v>54</v>
      </c>
      <c r="D682" t="s">
        <v>5235</v>
      </c>
      <c r="E682" t="s">
        <v>16</v>
      </c>
    </row>
    <row r="683" spans="1:5" x14ac:dyDescent="0.25">
      <c r="A683" t="s">
        <v>836</v>
      </c>
      <c r="B683" s="23">
        <v>54</v>
      </c>
      <c r="D683" t="s">
        <v>5236</v>
      </c>
      <c r="E683" t="s">
        <v>16</v>
      </c>
    </row>
    <row r="684" spans="1:5" x14ac:dyDescent="0.25">
      <c r="A684" t="s">
        <v>837</v>
      </c>
      <c r="B684" s="23">
        <v>54</v>
      </c>
      <c r="D684" t="s">
        <v>5237</v>
      </c>
      <c r="E684" t="s">
        <v>16</v>
      </c>
    </row>
    <row r="685" spans="1:5" x14ac:dyDescent="0.25">
      <c r="A685" t="s">
        <v>838</v>
      </c>
      <c r="B685" s="23">
        <v>54</v>
      </c>
      <c r="D685" t="s">
        <v>5238</v>
      </c>
      <c r="E685" t="s">
        <v>16</v>
      </c>
    </row>
    <row r="686" spans="1:5" x14ac:dyDescent="0.25">
      <c r="A686" t="s">
        <v>839</v>
      </c>
      <c r="B686" s="23">
        <v>54</v>
      </c>
      <c r="D686" t="s">
        <v>5239</v>
      </c>
      <c r="E686" t="s">
        <v>16</v>
      </c>
    </row>
    <row r="687" spans="1:5" x14ac:dyDescent="0.25">
      <c r="A687" t="s">
        <v>840</v>
      </c>
      <c r="B687" s="23">
        <v>54</v>
      </c>
      <c r="D687" t="s">
        <v>5240</v>
      </c>
      <c r="E687" t="s">
        <v>16</v>
      </c>
    </row>
    <row r="688" spans="1:5" x14ac:dyDescent="0.25">
      <c r="A688" t="s">
        <v>841</v>
      </c>
      <c r="B688" s="23">
        <v>54</v>
      </c>
      <c r="D688" t="s">
        <v>5241</v>
      </c>
      <c r="E688" t="s">
        <v>16</v>
      </c>
    </row>
    <row r="689" spans="1:5" x14ac:dyDescent="0.25">
      <c r="A689" t="s">
        <v>842</v>
      </c>
      <c r="B689" s="23">
        <v>54</v>
      </c>
      <c r="D689" t="s">
        <v>5242</v>
      </c>
      <c r="E689" t="s">
        <v>16</v>
      </c>
    </row>
    <row r="690" spans="1:5" x14ac:dyDescent="0.25">
      <c r="A690" t="s">
        <v>843</v>
      </c>
      <c r="B690" s="23">
        <v>54</v>
      </c>
      <c r="D690" t="s">
        <v>5243</v>
      </c>
      <c r="E690" t="s">
        <v>16</v>
      </c>
    </row>
    <row r="691" spans="1:5" x14ac:dyDescent="0.25">
      <c r="A691" s="23" t="s">
        <v>943</v>
      </c>
      <c r="B691" s="23">
        <v>55</v>
      </c>
      <c r="D691" t="s">
        <v>5244</v>
      </c>
      <c r="E691" t="s">
        <v>16</v>
      </c>
    </row>
    <row r="692" spans="1:5" x14ac:dyDescent="0.25">
      <c r="A692" t="s">
        <v>844</v>
      </c>
      <c r="B692" s="23">
        <v>55</v>
      </c>
      <c r="D692" t="s">
        <v>5245</v>
      </c>
      <c r="E692" t="s">
        <v>16</v>
      </c>
    </row>
    <row r="693" spans="1:5" x14ac:dyDescent="0.25">
      <c r="A693" t="s">
        <v>845</v>
      </c>
      <c r="B693" s="23">
        <v>55</v>
      </c>
      <c r="D693" t="s">
        <v>5246</v>
      </c>
      <c r="E693" t="s">
        <v>16</v>
      </c>
    </row>
    <row r="694" spans="1:5" x14ac:dyDescent="0.25">
      <c r="A694" t="s">
        <v>846</v>
      </c>
      <c r="B694" s="23">
        <v>55</v>
      </c>
      <c r="D694" t="s">
        <v>5247</v>
      </c>
      <c r="E694" t="s">
        <v>16</v>
      </c>
    </row>
    <row r="695" spans="1:5" x14ac:dyDescent="0.25">
      <c r="A695" t="s">
        <v>847</v>
      </c>
      <c r="B695" s="23">
        <v>55</v>
      </c>
      <c r="D695" t="s">
        <v>5248</v>
      </c>
      <c r="E695" t="s">
        <v>16</v>
      </c>
    </row>
    <row r="696" spans="1:5" x14ac:dyDescent="0.25">
      <c r="A696" t="s">
        <v>848</v>
      </c>
      <c r="B696" s="23">
        <v>55</v>
      </c>
      <c r="D696" t="s">
        <v>5249</v>
      </c>
      <c r="E696" t="s">
        <v>16</v>
      </c>
    </row>
    <row r="697" spans="1:5" x14ac:dyDescent="0.25">
      <c r="A697" t="s">
        <v>849</v>
      </c>
      <c r="B697" s="23">
        <v>55</v>
      </c>
      <c r="D697" t="s">
        <v>5250</v>
      </c>
      <c r="E697" t="s">
        <v>16</v>
      </c>
    </row>
    <row r="698" spans="1:5" x14ac:dyDescent="0.25">
      <c r="A698" t="s">
        <v>850</v>
      </c>
      <c r="B698" s="23">
        <v>55</v>
      </c>
      <c r="D698" t="s">
        <v>5251</v>
      </c>
      <c r="E698" t="s">
        <v>16</v>
      </c>
    </row>
    <row r="699" spans="1:5" x14ac:dyDescent="0.25">
      <c r="A699" t="s">
        <v>851</v>
      </c>
      <c r="B699" s="23">
        <v>55</v>
      </c>
      <c r="D699" t="s">
        <v>5252</v>
      </c>
      <c r="E699" t="s">
        <v>16</v>
      </c>
    </row>
    <row r="700" spans="1:5" x14ac:dyDescent="0.25">
      <c r="A700" t="s">
        <v>852</v>
      </c>
      <c r="B700" s="23">
        <v>55</v>
      </c>
      <c r="D700" t="s">
        <v>5253</v>
      </c>
      <c r="E700" t="s">
        <v>16</v>
      </c>
    </row>
    <row r="701" spans="1:5" x14ac:dyDescent="0.25">
      <c r="A701" s="23" t="s">
        <v>944</v>
      </c>
      <c r="B701" s="23">
        <v>57</v>
      </c>
      <c r="D701" t="s">
        <v>5254</v>
      </c>
      <c r="E701" t="s">
        <v>16</v>
      </c>
    </row>
    <row r="702" spans="1:5" x14ac:dyDescent="0.25">
      <c r="A702" t="s">
        <v>853</v>
      </c>
      <c r="B702" s="23">
        <v>57</v>
      </c>
      <c r="D702" t="s">
        <v>5255</v>
      </c>
      <c r="E702" t="s">
        <v>16</v>
      </c>
    </row>
    <row r="703" spans="1:5" x14ac:dyDescent="0.25">
      <c r="A703" t="s">
        <v>854</v>
      </c>
      <c r="B703" s="23">
        <v>57</v>
      </c>
      <c r="D703" t="s">
        <v>5256</v>
      </c>
      <c r="E703" t="s">
        <v>16</v>
      </c>
    </row>
    <row r="704" spans="1:5" x14ac:dyDescent="0.25">
      <c r="A704" t="s">
        <v>855</v>
      </c>
      <c r="B704" s="23">
        <v>57</v>
      </c>
      <c r="D704" t="s">
        <v>5257</v>
      </c>
      <c r="E704" t="s">
        <v>16</v>
      </c>
    </row>
    <row r="705" spans="1:5" x14ac:dyDescent="0.25">
      <c r="A705" t="s">
        <v>856</v>
      </c>
      <c r="B705" s="23">
        <v>57</v>
      </c>
      <c r="D705" t="s">
        <v>5258</v>
      </c>
      <c r="E705" t="s">
        <v>16</v>
      </c>
    </row>
    <row r="706" spans="1:5" x14ac:dyDescent="0.25">
      <c r="A706" t="s">
        <v>857</v>
      </c>
      <c r="B706" s="23">
        <v>57</v>
      </c>
      <c r="D706" t="s">
        <v>5259</v>
      </c>
      <c r="E706" t="s">
        <v>16</v>
      </c>
    </row>
    <row r="707" spans="1:5" x14ac:dyDescent="0.25">
      <c r="A707" t="s">
        <v>858</v>
      </c>
      <c r="B707" s="23">
        <v>57</v>
      </c>
      <c r="D707" t="s">
        <v>5260</v>
      </c>
      <c r="E707" t="s">
        <v>16</v>
      </c>
    </row>
    <row r="708" spans="1:5" x14ac:dyDescent="0.25">
      <c r="A708" t="s">
        <v>859</v>
      </c>
      <c r="B708" s="23">
        <v>57</v>
      </c>
      <c r="D708" t="s">
        <v>5261</v>
      </c>
      <c r="E708" t="s">
        <v>16</v>
      </c>
    </row>
    <row r="709" spans="1:5" x14ac:dyDescent="0.25">
      <c r="A709" t="s">
        <v>860</v>
      </c>
      <c r="B709" s="23">
        <v>57</v>
      </c>
      <c r="D709" t="s">
        <v>5262</v>
      </c>
      <c r="E709" t="s">
        <v>16</v>
      </c>
    </row>
    <row r="710" spans="1:5" x14ac:dyDescent="0.25">
      <c r="A710" t="s">
        <v>861</v>
      </c>
      <c r="B710" s="23">
        <v>57</v>
      </c>
      <c r="D710" t="s">
        <v>5263</v>
      </c>
      <c r="E710" t="s">
        <v>16</v>
      </c>
    </row>
    <row r="711" spans="1:5" x14ac:dyDescent="0.25">
      <c r="A711" s="23" t="s">
        <v>945</v>
      </c>
      <c r="B711" s="23">
        <v>58</v>
      </c>
      <c r="D711" t="s">
        <v>5264</v>
      </c>
      <c r="E711" t="s">
        <v>16</v>
      </c>
    </row>
    <row r="712" spans="1:5" x14ac:dyDescent="0.25">
      <c r="A712" t="s">
        <v>862</v>
      </c>
      <c r="B712" s="23">
        <v>58</v>
      </c>
      <c r="D712" t="s">
        <v>5265</v>
      </c>
      <c r="E712" t="s">
        <v>16</v>
      </c>
    </row>
    <row r="713" spans="1:5" x14ac:dyDescent="0.25">
      <c r="A713" t="s">
        <v>863</v>
      </c>
      <c r="B713" s="23">
        <v>58</v>
      </c>
      <c r="D713" t="s">
        <v>5266</v>
      </c>
      <c r="E713" t="s">
        <v>16</v>
      </c>
    </row>
    <row r="714" spans="1:5" x14ac:dyDescent="0.25">
      <c r="A714" t="s">
        <v>864</v>
      </c>
      <c r="B714" s="23">
        <v>58</v>
      </c>
      <c r="D714" t="s">
        <v>5267</v>
      </c>
      <c r="E714" t="s">
        <v>16</v>
      </c>
    </row>
    <row r="715" spans="1:5" x14ac:dyDescent="0.25">
      <c r="A715" t="s">
        <v>865</v>
      </c>
      <c r="B715" s="23">
        <v>58</v>
      </c>
      <c r="D715" t="s">
        <v>5268</v>
      </c>
      <c r="E715" t="s">
        <v>16</v>
      </c>
    </row>
    <row r="716" spans="1:5" x14ac:dyDescent="0.25">
      <c r="A716" t="s">
        <v>866</v>
      </c>
      <c r="B716" s="23">
        <v>58</v>
      </c>
      <c r="D716" t="s">
        <v>5269</v>
      </c>
      <c r="E716" t="s">
        <v>16</v>
      </c>
    </row>
    <row r="717" spans="1:5" x14ac:dyDescent="0.25">
      <c r="A717" t="s">
        <v>867</v>
      </c>
      <c r="B717" s="23">
        <v>58</v>
      </c>
      <c r="D717" t="s">
        <v>5270</v>
      </c>
      <c r="E717" t="s">
        <v>16</v>
      </c>
    </row>
    <row r="718" spans="1:5" x14ac:dyDescent="0.25">
      <c r="A718" t="s">
        <v>868</v>
      </c>
      <c r="B718" s="23">
        <v>58</v>
      </c>
      <c r="D718" t="s">
        <v>5271</v>
      </c>
      <c r="E718" t="s">
        <v>16</v>
      </c>
    </row>
    <row r="719" spans="1:5" x14ac:dyDescent="0.25">
      <c r="A719" t="s">
        <v>869</v>
      </c>
      <c r="B719" s="23">
        <v>58</v>
      </c>
      <c r="D719" t="s">
        <v>5272</v>
      </c>
      <c r="E719" t="s">
        <v>16</v>
      </c>
    </row>
    <row r="720" spans="1:5" x14ac:dyDescent="0.25">
      <c r="A720" t="s">
        <v>870</v>
      </c>
      <c r="B720" s="23">
        <v>58</v>
      </c>
      <c r="D720" t="s">
        <v>5273</v>
      </c>
      <c r="E720" t="s">
        <v>16</v>
      </c>
    </row>
    <row r="721" spans="1:5" x14ac:dyDescent="0.25">
      <c r="A721" s="23" t="s">
        <v>946</v>
      </c>
      <c r="B721" s="23">
        <v>59</v>
      </c>
      <c r="D721" t="s">
        <v>5274</v>
      </c>
      <c r="E721" t="s">
        <v>16</v>
      </c>
    </row>
    <row r="722" spans="1:5" x14ac:dyDescent="0.25">
      <c r="A722" t="s">
        <v>871</v>
      </c>
      <c r="B722" s="23">
        <v>59</v>
      </c>
      <c r="D722" t="s">
        <v>5275</v>
      </c>
      <c r="E722" t="s">
        <v>16</v>
      </c>
    </row>
    <row r="723" spans="1:5" x14ac:dyDescent="0.25">
      <c r="A723" t="s">
        <v>872</v>
      </c>
      <c r="B723" s="23">
        <v>59</v>
      </c>
      <c r="D723" t="s">
        <v>5276</v>
      </c>
      <c r="E723" t="s">
        <v>16</v>
      </c>
    </row>
    <row r="724" spans="1:5" x14ac:dyDescent="0.25">
      <c r="A724" t="s">
        <v>873</v>
      </c>
      <c r="B724" s="23">
        <v>59</v>
      </c>
      <c r="D724" t="s">
        <v>5277</v>
      </c>
      <c r="E724" t="s">
        <v>16</v>
      </c>
    </row>
    <row r="725" spans="1:5" x14ac:dyDescent="0.25">
      <c r="A725" t="s">
        <v>874</v>
      </c>
      <c r="B725" s="23">
        <v>59</v>
      </c>
      <c r="D725" t="s">
        <v>5278</v>
      </c>
      <c r="E725" t="s">
        <v>16</v>
      </c>
    </row>
    <row r="726" spans="1:5" x14ac:dyDescent="0.25">
      <c r="A726" t="s">
        <v>875</v>
      </c>
      <c r="B726" s="23">
        <v>59</v>
      </c>
      <c r="D726" t="s">
        <v>5279</v>
      </c>
      <c r="E726" t="s">
        <v>16</v>
      </c>
    </row>
    <row r="727" spans="1:5" x14ac:dyDescent="0.25">
      <c r="A727" t="s">
        <v>876</v>
      </c>
      <c r="B727" s="23">
        <v>59</v>
      </c>
      <c r="D727" t="s">
        <v>5280</v>
      </c>
      <c r="E727" t="s">
        <v>16</v>
      </c>
    </row>
    <row r="728" spans="1:5" x14ac:dyDescent="0.25">
      <c r="A728" t="s">
        <v>877</v>
      </c>
      <c r="B728" s="23">
        <v>59</v>
      </c>
      <c r="D728" t="s">
        <v>5281</v>
      </c>
      <c r="E728" t="s">
        <v>16</v>
      </c>
    </row>
    <row r="729" spans="1:5" x14ac:dyDescent="0.25">
      <c r="A729" t="s">
        <v>878</v>
      </c>
      <c r="B729" s="23">
        <v>59</v>
      </c>
      <c r="D729" t="s">
        <v>5282</v>
      </c>
      <c r="E729" t="s">
        <v>16</v>
      </c>
    </row>
    <row r="730" spans="1:5" x14ac:dyDescent="0.25">
      <c r="A730" t="s">
        <v>879</v>
      </c>
      <c r="B730" s="23">
        <v>59</v>
      </c>
      <c r="D730" t="s">
        <v>5283</v>
      </c>
      <c r="E730" t="s">
        <v>16</v>
      </c>
    </row>
    <row r="731" spans="1:5" x14ac:dyDescent="0.25">
      <c r="A731" s="23" t="s">
        <v>947</v>
      </c>
      <c r="B731" s="23">
        <v>61</v>
      </c>
      <c r="D731" t="s">
        <v>5284</v>
      </c>
      <c r="E731" t="s">
        <v>16</v>
      </c>
    </row>
    <row r="732" spans="1:5" x14ac:dyDescent="0.25">
      <c r="A732" t="s">
        <v>880</v>
      </c>
      <c r="B732" s="23">
        <v>61</v>
      </c>
      <c r="D732" t="s">
        <v>5285</v>
      </c>
      <c r="E732" t="s">
        <v>16</v>
      </c>
    </row>
    <row r="733" spans="1:5" x14ac:dyDescent="0.25">
      <c r="A733" t="s">
        <v>881</v>
      </c>
      <c r="B733" s="23">
        <v>61</v>
      </c>
      <c r="D733" t="s">
        <v>5286</v>
      </c>
      <c r="E733" t="s">
        <v>16</v>
      </c>
    </row>
    <row r="734" spans="1:5" x14ac:dyDescent="0.25">
      <c r="A734" t="s">
        <v>882</v>
      </c>
      <c r="B734" s="23">
        <v>61</v>
      </c>
      <c r="D734" t="s">
        <v>5287</v>
      </c>
      <c r="E734" t="s">
        <v>16</v>
      </c>
    </row>
    <row r="735" spans="1:5" x14ac:dyDescent="0.25">
      <c r="A735" t="s">
        <v>883</v>
      </c>
      <c r="B735" s="23">
        <v>61</v>
      </c>
      <c r="D735" t="s">
        <v>5288</v>
      </c>
      <c r="E735" t="s">
        <v>16</v>
      </c>
    </row>
    <row r="736" spans="1:5" x14ac:dyDescent="0.25">
      <c r="A736" t="s">
        <v>884</v>
      </c>
      <c r="B736" s="23">
        <v>61</v>
      </c>
      <c r="D736" t="s">
        <v>5289</v>
      </c>
      <c r="E736" t="s">
        <v>16</v>
      </c>
    </row>
    <row r="737" spans="1:5" x14ac:dyDescent="0.25">
      <c r="A737" t="s">
        <v>885</v>
      </c>
      <c r="B737" s="23">
        <v>61</v>
      </c>
      <c r="D737" t="s">
        <v>5290</v>
      </c>
      <c r="E737" t="s">
        <v>16</v>
      </c>
    </row>
    <row r="738" spans="1:5" x14ac:dyDescent="0.25">
      <c r="A738" t="s">
        <v>886</v>
      </c>
      <c r="B738" s="23">
        <v>61</v>
      </c>
      <c r="D738" t="s">
        <v>5291</v>
      </c>
      <c r="E738" t="s">
        <v>16</v>
      </c>
    </row>
    <row r="739" spans="1:5" x14ac:dyDescent="0.25">
      <c r="A739" t="s">
        <v>887</v>
      </c>
      <c r="B739" s="23">
        <v>61</v>
      </c>
      <c r="D739" t="s">
        <v>5292</v>
      </c>
      <c r="E739" t="s">
        <v>16</v>
      </c>
    </row>
    <row r="740" spans="1:5" x14ac:dyDescent="0.25">
      <c r="A740" t="s">
        <v>888</v>
      </c>
      <c r="B740" s="23">
        <v>61</v>
      </c>
      <c r="D740" t="s">
        <v>5293</v>
      </c>
      <c r="E740" t="s">
        <v>16</v>
      </c>
    </row>
    <row r="741" spans="1:5" x14ac:dyDescent="0.25">
      <c r="A741" s="23" t="s">
        <v>960</v>
      </c>
      <c r="B741" s="23">
        <v>62</v>
      </c>
      <c r="D741" t="s">
        <v>5294</v>
      </c>
      <c r="E741" t="s">
        <v>16</v>
      </c>
    </row>
    <row r="742" spans="1:5" x14ac:dyDescent="0.25">
      <c r="A742" t="s">
        <v>889</v>
      </c>
      <c r="B742" s="23">
        <v>62</v>
      </c>
      <c r="D742" t="s">
        <v>5295</v>
      </c>
      <c r="E742" t="s">
        <v>16</v>
      </c>
    </row>
    <row r="743" spans="1:5" x14ac:dyDescent="0.25">
      <c r="A743" t="s">
        <v>890</v>
      </c>
      <c r="B743" s="23">
        <v>62</v>
      </c>
      <c r="D743" t="s">
        <v>5296</v>
      </c>
      <c r="E743" t="s">
        <v>16</v>
      </c>
    </row>
    <row r="744" spans="1:5" x14ac:dyDescent="0.25">
      <c r="A744" t="s">
        <v>891</v>
      </c>
      <c r="B744" s="23">
        <v>62</v>
      </c>
      <c r="D744" t="s">
        <v>5297</v>
      </c>
      <c r="E744" t="s">
        <v>16</v>
      </c>
    </row>
    <row r="745" spans="1:5" x14ac:dyDescent="0.25">
      <c r="A745" t="s">
        <v>892</v>
      </c>
      <c r="B745" s="23">
        <v>62</v>
      </c>
      <c r="D745" t="s">
        <v>5298</v>
      </c>
      <c r="E745" t="s">
        <v>16</v>
      </c>
    </row>
    <row r="746" spans="1:5" x14ac:dyDescent="0.25">
      <c r="A746" t="s">
        <v>893</v>
      </c>
      <c r="B746" s="23">
        <v>62</v>
      </c>
      <c r="D746" t="s">
        <v>5299</v>
      </c>
      <c r="E746" t="s">
        <v>16</v>
      </c>
    </row>
    <row r="747" spans="1:5" x14ac:dyDescent="0.25">
      <c r="A747" t="s">
        <v>894</v>
      </c>
      <c r="B747" s="23">
        <v>62</v>
      </c>
      <c r="D747" t="s">
        <v>5300</v>
      </c>
      <c r="E747" t="s">
        <v>16</v>
      </c>
    </row>
    <row r="748" spans="1:5" x14ac:dyDescent="0.25">
      <c r="A748" t="s">
        <v>895</v>
      </c>
      <c r="B748" s="23">
        <v>62</v>
      </c>
      <c r="D748" t="s">
        <v>5301</v>
      </c>
      <c r="E748" t="s">
        <v>16</v>
      </c>
    </row>
    <row r="749" spans="1:5" x14ac:dyDescent="0.25">
      <c r="A749" t="s">
        <v>896</v>
      </c>
      <c r="B749" s="23">
        <v>62</v>
      </c>
      <c r="D749" t="s">
        <v>5302</v>
      </c>
      <c r="E749" t="s">
        <v>16</v>
      </c>
    </row>
    <row r="750" spans="1:5" x14ac:dyDescent="0.25">
      <c r="A750" t="s">
        <v>897</v>
      </c>
      <c r="B750" s="23">
        <v>62</v>
      </c>
      <c r="D750" t="s">
        <v>5303</v>
      </c>
      <c r="E750" t="s">
        <v>16</v>
      </c>
    </row>
    <row r="751" spans="1:5" x14ac:dyDescent="0.25">
      <c r="A751" s="23" t="s">
        <v>961</v>
      </c>
      <c r="B751" s="23">
        <v>63</v>
      </c>
      <c r="D751" t="s">
        <v>5304</v>
      </c>
      <c r="E751" t="s">
        <v>16</v>
      </c>
    </row>
    <row r="752" spans="1:5" x14ac:dyDescent="0.25">
      <c r="A752" t="s">
        <v>898</v>
      </c>
      <c r="B752" s="23">
        <v>63</v>
      </c>
      <c r="D752" t="s">
        <v>5305</v>
      </c>
      <c r="E752" t="s">
        <v>16</v>
      </c>
    </row>
    <row r="753" spans="1:5" x14ac:dyDescent="0.25">
      <c r="A753" t="s">
        <v>899</v>
      </c>
      <c r="B753" s="23">
        <v>63</v>
      </c>
      <c r="D753" t="s">
        <v>5306</v>
      </c>
      <c r="E753" t="s">
        <v>16</v>
      </c>
    </row>
    <row r="754" spans="1:5" x14ac:dyDescent="0.25">
      <c r="A754" t="s">
        <v>900</v>
      </c>
      <c r="B754" s="23">
        <v>63</v>
      </c>
      <c r="D754" t="s">
        <v>5307</v>
      </c>
      <c r="E754" t="s">
        <v>16</v>
      </c>
    </row>
    <row r="755" spans="1:5" x14ac:dyDescent="0.25">
      <c r="A755" t="s">
        <v>901</v>
      </c>
      <c r="B755" s="23">
        <v>63</v>
      </c>
      <c r="D755" t="s">
        <v>5308</v>
      </c>
      <c r="E755" t="s">
        <v>16</v>
      </c>
    </row>
    <row r="756" spans="1:5" x14ac:dyDescent="0.25">
      <c r="A756" t="s">
        <v>902</v>
      </c>
      <c r="B756" s="23">
        <v>63</v>
      </c>
      <c r="D756" t="s">
        <v>5309</v>
      </c>
      <c r="E756" t="s">
        <v>16</v>
      </c>
    </row>
    <row r="757" spans="1:5" x14ac:dyDescent="0.25">
      <c r="A757" t="s">
        <v>903</v>
      </c>
      <c r="B757" s="23">
        <v>63</v>
      </c>
      <c r="D757" t="s">
        <v>5310</v>
      </c>
      <c r="E757" t="s">
        <v>16</v>
      </c>
    </row>
    <row r="758" spans="1:5" x14ac:dyDescent="0.25">
      <c r="A758" t="s">
        <v>904</v>
      </c>
      <c r="B758" s="23">
        <v>63</v>
      </c>
      <c r="D758" t="s">
        <v>5311</v>
      </c>
      <c r="E758" t="s">
        <v>16</v>
      </c>
    </row>
    <row r="759" spans="1:5" x14ac:dyDescent="0.25">
      <c r="A759" t="s">
        <v>905</v>
      </c>
      <c r="B759" s="23">
        <v>63</v>
      </c>
      <c r="D759" t="s">
        <v>5312</v>
      </c>
      <c r="E759" t="s">
        <v>16</v>
      </c>
    </row>
    <row r="760" spans="1:5" x14ac:dyDescent="0.25">
      <c r="A760" t="s">
        <v>906</v>
      </c>
      <c r="B760" s="23">
        <v>63</v>
      </c>
      <c r="D760" t="s">
        <v>5313</v>
      </c>
      <c r="E760" t="s">
        <v>16</v>
      </c>
    </row>
    <row r="761" spans="1:5" x14ac:dyDescent="0.25">
      <c r="A761" s="23" t="s">
        <v>962</v>
      </c>
      <c r="B761" s="23">
        <v>65</v>
      </c>
      <c r="D761" t="s">
        <v>5314</v>
      </c>
      <c r="E761" t="s">
        <v>16</v>
      </c>
    </row>
    <row r="762" spans="1:5" x14ac:dyDescent="0.25">
      <c r="A762" t="s">
        <v>907</v>
      </c>
      <c r="B762" s="23">
        <v>65</v>
      </c>
      <c r="D762" t="s">
        <v>5315</v>
      </c>
      <c r="E762" t="s">
        <v>16</v>
      </c>
    </row>
    <row r="763" spans="1:5" x14ac:dyDescent="0.25">
      <c r="A763" t="s">
        <v>908</v>
      </c>
      <c r="B763" s="23">
        <v>65</v>
      </c>
      <c r="D763" t="s">
        <v>5316</v>
      </c>
      <c r="E763" t="s">
        <v>16</v>
      </c>
    </row>
    <row r="764" spans="1:5" x14ac:dyDescent="0.25">
      <c r="A764" t="s">
        <v>909</v>
      </c>
      <c r="B764" s="23">
        <v>65</v>
      </c>
      <c r="D764" t="s">
        <v>5317</v>
      </c>
      <c r="E764" t="s">
        <v>16</v>
      </c>
    </row>
    <row r="765" spans="1:5" x14ac:dyDescent="0.25">
      <c r="A765" t="s">
        <v>910</v>
      </c>
      <c r="B765" s="23">
        <v>65</v>
      </c>
      <c r="D765" t="s">
        <v>5318</v>
      </c>
      <c r="E765" t="s">
        <v>16</v>
      </c>
    </row>
    <row r="766" spans="1:5" x14ac:dyDescent="0.25">
      <c r="A766" t="s">
        <v>911</v>
      </c>
      <c r="B766" s="23">
        <v>65</v>
      </c>
      <c r="D766" t="s">
        <v>5319</v>
      </c>
      <c r="E766" t="s">
        <v>16</v>
      </c>
    </row>
    <row r="767" spans="1:5" x14ac:dyDescent="0.25">
      <c r="A767" t="s">
        <v>912</v>
      </c>
      <c r="B767" s="23">
        <v>65</v>
      </c>
      <c r="D767" t="s">
        <v>5320</v>
      </c>
      <c r="E767" t="s">
        <v>16</v>
      </c>
    </row>
    <row r="768" spans="1:5" x14ac:dyDescent="0.25">
      <c r="A768" t="s">
        <v>913</v>
      </c>
      <c r="B768" s="23">
        <v>65</v>
      </c>
      <c r="D768" t="s">
        <v>5321</v>
      </c>
      <c r="E768" t="s">
        <v>16</v>
      </c>
    </row>
    <row r="769" spans="1:5" x14ac:dyDescent="0.25">
      <c r="A769" t="s">
        <v>914</v>
      </c>
      <c r="B769" s="23">
        <v>65</v>
      </c>
      <c r="D769" t="s">
        <v>5322</v>
      </c>
      <c r="E769" t="s">
        <v>16</v>
      </c>
    </row>
    <row r="770" spans="1:5" x14ac:dyDescent="0.25">
      <c r="A770" t="s">
        <v>915</v>
      </c>
      <c r="B770" s="23">
        <v>65</v>
      </c>
      <c r="D770" t="s">
        <v>5323</v>
      </c>
      <c r="E770" t="s">
        <v>16</v>
      </c>
    </row>
    <row r="771" spans="1:5" x14ac:dyDescent="0.25">
      <c r="A771" s="23" t="s">
        <v>963</v>
      </c>
      <c r="B771" s="23">
        <v>66</v>
      </c>
      <c r="D771" t="s">
        <v>5324</v>
      </c>
      <c r="E771" t="s">
        <v>16</v>
      </c>
    </row>
    <row r="772" spans="1:5" x14ac:dyDescent="0.25">
      <c r="A772" t="s">
        <v>916</v>
      </c>
      <c r="B772" s="23">
        <v>66</v>
      </c>
      <c r="D772" t="s">
        <v>5325</v>
      </c>
      <c r="E772" t="s">
        <v>16</v>
      </c>
    </row>
    <row r="773" spans="1:5" x14ac:dyDescent="0.25">
      <c r="A773" t="s">
        <v>917</v>
      </c>
      <c r="B773" s="23">
        <v>66</v>
      </c>
      <c r="D773" t="s">
        <v>5326</v>
      </c>
      <c r="E773" t="s">
        <v>16</v>
      </c>
    </row>
    <row r="774" spans="1:5" x14ac:dyDescent="0.25">
      <c r="A774" t="s">
        <v>918</v>
      </c>
      <c r="B774" s="23">
        <v>66</v>
      </c>
      <c r="D774" t="s">
        <v>5327</v>
      </c>
      <c r="E774" t="s">
        <v>16</v>
      </c>
    </row>
    <row r="775" spans="1:5" x14ac:dyDescent="0.25">
      <c r="A775" t="s">
        <v>919</v>
      </c>
      <c r="B775" s="23">
        <v>66</v>
      </c>
      <c r="D775" t="s">
        <v>5328</v>
      </c>
      <c r="E775" t="s">
        <v>16</v>
      </c>
    </row>
    <row r="776" spans="1:5" x14ac:dyDescent="0.25">
      <c r="A776" t="s">
        <v>920</v>
      </c>
      <c r="B776" s="23">
        <v>66</v>
      </c>
      <c r="D776" t="s">
        <v>5329</v>
      </c>
      <c r="E776" t="s">
        <v>16</v>
      </c>
    </row>
    <row r="777" spans="1:5" x14ac:dyDescent="0.25">
      <c r="A777" t="s">
        <v>921</v>
      </c>
      <c r="B777" s="23">
        <v>66</v>
      </c>
      <c r="D777" t="s">
        <v>5330</v>
      </c>
      <c r="E777" t="s">
        <v>16</v>
      </c>
    </row>
    <row r="778" spans="1:5" x14ac:dyDescent="0.25">
      <c r="A778" t="s">
        <v>922</v>
      </c>
      <c r="B778" s="23">
        <v>66</v>
      </c>
      <c r="D778" t="s">
        <v>5331</v>
      </c>
      <c r="E778" t="s">
        <v>16</v>
      </c>
    </row>
    <row r="779" spans="1:5" x14ac:dyDescent="0.25">
      <c r="A779" t="s">
        <v>923</v>
      </c>
      <c r="B779" s="23">
        <v>66</v>
      </c>
      <c r="D779" t="s">
        <v>5332</v>
      </c>
      <c r="E779" t="s">
        <v>16</v>
      </c>
    </row>
    <row r="780" spans="1:5" x14ac:dyDescent="0.25">
      <c r="A780" t="s">
        <v>924</v>
      </c>
      <c r="B780" s="23">
        <v>66</v>
      </c>
      <c r="D780" t="s">
        <v>5333</v>
      </c>
      <c r="E780" t="s">
        <v>16</v>
      </c>
    </row>
    <row r="781" spans="1:5" x14ac:dyDescent="0.25">
      <c r="A781" s="23" t="s">
        <v>966</v>
      </c>
      <c r="B781" s="23">
        <v>67</v>
      </c>
      <c r="D781" t="s">
        <v>5334</v>
      </c>
      <c r="E781" t="s">
        <v>16</v>
      </c>
    </row>
    <row r="782" spans="1:5" x14ac:dyDescent="0.25">
      <c r="A782" t="s">
        <v>925</v>
      </c>
      <c r="B782" s="23">
        <v>67</v>
      </c>
      <c r="D782" t="s">
        <v>5335</v>
      </c>
      <c r="E782" t="s">
        <v>16</v>
      </c>
    </row>
    <row r="783" spans="1:5" x14ac:dyDescent="0.25">
      <c r="A783" t="s">
        <v>926</v>
      </c>
      <c r="B783" s="23">
        <v>67</v>
      </c>
      <c r="D783" t="s">
        <v>5336</v>
      </c>
      <c r="E783" t="s">
        <v>16</v>
      </c>
    </row>
    <row r="784" spans="1:5" x14ac:dyDescent="0.25">
      <c r="A784" t="s">
        <v>927</v>
      </c>
      <c r="B784" s="23">
        <v>67</v>
      </c>
      <c r="D784" t="s">
        <v>5337</v>
      </c>
      <c r="E784" t="s">
        <v>16</v>
      </c>
    </row>
    <row r="785" spans="1:5" x14ac:dyDescent="0.25">
      <c r="A785" t="s">
        <v>928</v>
      </c>
      <c r="B785" s="23">
        <v>67</v>
      </c>
      <c r="D785" t="s">
        <v>5338</v>
      </c>
      <c r="E785" t="s">
        <v>16</v>
      </c>
    </row>
    <row r="786" spans="1:5" x14ac:dyDescent="0.25">
      <c r="A786" t="s">
        <v>929</v>
      </c>
      <c r="B786" s="23">
        <v>67</v>
      </c>
      <c r="D786" t="s">
        <v>5339</v>
      </c>
      <c r="E786" t="s">
        <v>16</v>
      </c>
    </row>
    <row r="787" spans="1:5" x14ac:dyDescent="0.25">
      <c r="A787" t="s">
        <v>930</v>
      </c>
      <c r="B787" s="23">
        <v>67</v>
      </c>
      <c r="D787" t="s">
        <v>5340</v>
      </c>
      <c r="E787" t="s">
        <v>16</v>
      </c>
    </row>
    <row r="788" spans="1:5" x14ac:dyDescent="0.25">
      <c r="A788" t="s">
        <v>931</v>
      </c>
      <c r="B788" s="23">
        <v>67</v>
      </c>
      <c r="D788" t="s">
        <v>5341</v>
      </c>
      <c r="E788" t="s">
        <v>16</v>
      </c>
    </row>
    <row r="789" spans="1:5" x14ac:dyDescent="0.25">
      <c r="A789" t="s">
        <v>932</v>
      </c>
      <c r="B789" s="23">
        <v>67</v>
      </c>
      <c r="D789" t="s">
        <v>5342</v>
      </c>
      <c r="E789" t="s">
        <v>16</v>
      </c>
    </row>
    <row r="790" spans="1:5" x14ac:dyDescent="0.25">
      <c r="A790" t="s">
        <v>933</v>
      </c>
      <c r="B790" s="23">
        <v>67</v>
      </c>
      <c r="D790" t="s">
        <v>5343</v>
      </c>
      <c r="E790" t="s">
        <v>16</v>
      </c>
    </row>
    <row r="791" spans="1:5" x14ac:dyDescent="0.25">
      <c r="A791" s="23" t="s">
        <v>965</v>
      </c>
      <c r="B791" s="23">
        <v>69</v>
      </c>
      <c r="D791" t="s">
        <v>5344</v>
      </c>
      <c r="E791" t="s">
        <v>16</v>
      </c>
    </row>
    <row r="792" spans="1:5" x14ac:dyDescent="0.25">
      <c r="A792" t="s">
        <v>934</v>
      </c>
      <c r="B792" s="23">
        <v>69</v>
      </c>
      <c r="D792" t="s">
        <v>5345</v>
      </c>
      <c r="E792" t="s">
        <v>16</v>
      </c>
    </row>
    <row r="793" spans="1:5" x14ac:dyDescent="0.25">
      <c r="A793" t="s">
        <v>935</v>
      </c>
      <c r="B793" s="23">
        <v>69</v>
      </c>
      <c r="D793" t="s">
        <v>5346</v>
      </c>
      <c r="E793" t="s">
        <v>16</v>
      </c>
    </row>
    <row r="794" spans="1:5" x14ac:dyDescent="0.25">
      <c r="A794" t="s">
        <v>936</v>
      </c>
      <c r="B794" s="23">
        <v>69</v>
      </c>
      <c r="D794" t="s">
        <v>5347</v>
      </c>
      <c r="E794" t="s">
        <v>16</v>
      </c>
    </row>
    <row r="795" spans="1:5" x14ac:dyDescent="0.25">
      <c r="A795" t="s">
        <v>937</v>
      </c>
      <c r="B795" s="23">
        <v>69</v>
      </c>
      <c r="D795" t="s">
        <v>5348</v>
      </c>
      <c r="E795" t="s">
        <v>16</v>
      </c>
    </row>
    <row r="796" spans="1:5" x14ac:dyDescent="0.25">
      <c r="A796" t="s">
        <v>938</v>
      </c>
      <c r="B796" s="23">
        <v>69</v>
      </c>
      <c r="D796" t="s">
        <v>5349</v>
      </c>
      <c r="E796" t="s">
        <v>16</v>
      </c>
    </row>
    <row r="797" spans="1:5" x14ac:dyDescent="0.25">
      <c r="A797" t="s">
        <v>939</v>
      </c>
      <c r="B797" s="23">
        <v>69</v>
      </c>
      <c r="D797" t="s">
        <v>5350</v>
      </c>
      <c r="E797" t="s">
        <v>16</v>
      </c>
    </row>
    <row r="798" spans="1:5" x14ac:dyDescent="0.25">
      <c r="A798" t="s">
        <v>940</v>
      </c>
      <c r="B798" s="23">
        <v>69</v>
      </c>
      <c r="D798" t="s">
        <v>5351</v>
      </c>
      <c r="E798" t="s">
        <v>16</v>
      </c>
    </row>
    <row r="799" spans="1:5" x14ac:dyDescent="0.25">
      <c r="A799" t="s">
        <v>941</v>
      </c>
      <c r="B799" s="23">
        <v>69</v>
      </c>
      <c r="D799" t="s">
        <v>5352</v>
      </c>
      <c r="E799" t="s">
        <v>16</v>
      </c>
    </row>
    <row r="800" spans="1:5" x14ac:dyDescent="0.25">
      <c r="A800" t="s">
        <v>942</v>
      </c>
      <c r="B800" s="23">
        <v>69</v>
      </c>
      <c r="D800" t="s">
        <v>5353</v>
      </c>
      <c r="E800" t="s">
        <v>16</v>
      </c>
    </row>
    <row r="801" spans="1:5" x14ac:dyDescent="0.25">
      <c r="A801" s="23" t="s">
        <v>964</v>
      </c>
      <c r="B801" s="23">
        <v>70</v>
      </c>
      <c r="D801" t="s">
        <v>5354</v>
      </c>
      <c r="E801" t="s">
        <v>16</v>
      </c>
    </row>
    <row r="802" spans="1:5" x14ac:dyDescent="0.25">
      <c r="A802" t="s">
        <v>967</v>
      </c>
      <c r="B802" s="23">
        <v>0</v>
      </c>
      <c r="D802" t="s">
        <v>5355</v>
      </c>
      <c r="E802" t="s">
        <v>16</v>
      </c>
    </row>
    <row r="803" spans="1:5" x14ac:dyDescent="0.25">
      <c r="A803" t="s">
        <v>968</v>
      </c>
      <c r="B803" s="23">
        <v>0</v>
      </c>
      <c r="D803" t="s">
        <v>5356</v>
      </c>
      <c r="E803" t="s">
        <v>16</v>
      </c>
    </row>
    <row r="804" spans="1:5" x14ac:dyDescent="0.25">
      <c r="A804" t="s">
        <v>969</v>
      </c>
      <c r="B804" s="23">
        <v>0</v>
      </c>
      <c r="D804" t="s">
        <v>5357</v>
      </c>
      <c r="E804" t="s">
        <v>130</v>
      </c>
    </row>
    <row r="805" spans="1:5" x14ac:dyDescent="0.25">
      <c r="A805" t="s">
        <v>970</v>
      </c>
      <c r="B805" s="23">
        <v>0</v>
      </c>
      <c r="D805" t="s">
        <v>5358</v>
      </c>
      <c r="E805" t="s">
        <v>130</v>
      </c>
    </row>
    <row r="806" spans="1:5" x14ac:dyDescent="0.25">
      <c r="A806" t="s">
        <v>971</v>
      </c>
      <c r="B806" s="23">
        <v>0</v>
      </c>
      <c r="D806" t="s">
        <v>5359</v>
      </c>
      <c r="E806" t="s">
        <v>130</v>
      </c>
    </row>
    <row r="807" spans="1:5" x14ac:dyDescent="0.25">
      <c r="A807" t="s">
        <v>972</v>
      </c>
      <c r="B807" s="23">
        <v>0</v>
      </c>
      <c r="D807" t="s">
        <v>5360</v>
      </c>
      <c r="E807" t="s">
        <v>130</v>
      </c>
    </row>
    <row r="808" spans="1:5" x14ac:dyDescent="0.25">
      <c r="A808" t="s">
        <v>973</v>
      </c>
      <c r="B808" s="23">
        <v>0</v>
      </c>
      <c r="D808" t="s">
        <v>5361</v>
      </c>
      <c r="E808" t="s">
        <v>130</v>
      </c>
    </row>
    <row r="809" spans="1:5" x14ac:dyDescent="0.25">
      <c r="A809" t="s">
        <v>974</v>
      </c>
      <c r="B809" s="23">
        <v>0</v>
      </c>
      <c r="D809" t="s">
        <v>5362</v>
      </c>
      <c r="E809" t="s">
        <v>130</v>
      </c>
    </row>
    <row r="810" spans="1:5" x14ac:dyDescent="0.25">
      <c r="A810" t="s">
        <v>975</v>
      </c>
      <c r="B810" s="23">
        <v>0</v>
      </c>
      <c r="D810" t="s">
        <v>5363</v>
      </c>
      <c r="E810" t="s">
        <v>130</v>
      </c>
    </row>
    <row r="811" spans="1:5" x14ac:dyDescent="0.25">
      <c r="A811" t="s">
        <v>976</v>
      </c>
      <c r="B811" s="23">
        <v>1</v>
      </c>
      <c r="D811" t="s">
        <v>5364</v>
      </c>
      <c r="E811" t="s">
        <v>130</v>
      </c>
    </row>
    <row r="812" spans="1:5" x14ac:dyDescent="0.25">
      <c r="A812" t="s">
        <v>977</v>
      </c>
      <c r="B812" s="23">
        <v>1</v>
      </c>
      <c r="D812" t="s">
        <v>5365</v>
      </c>
      <c r="E812" t="s">
        <v>130</v>
      </c>
    </row>
    <row r="813" spans="1:5" x14ac:dyDescent="0.25">
      <c r="A813" t="s">
        <v>978</v>
      </c>
      <c r="B813" s="23">
        <v>1</v>
      </c>
      <c r="D813" t="s">
        <v>5366</v>
      </c>
      <c r="E813" t="s">
        <v>130</v>
      </c>
    </row>
    <row r="814" spans="1:5" x14ac:dyDescent="0.25">
      <c r="A814" t="s">
        <v>979</v>
      </c>
      <c r="B814" s="23">
        <v>1</v>
      </c>
      <c r="D814" t="s">
        <v>5367</v>
      </c>
      <c r="E814" t="s">
        <v>130</v>
      </c>
    </row>
    <row r="815" spans="1:5" x14ac:dyDescent="0.25">
      <c r="A815" t="s">
        <v>980</v>
      </c>
      <c r="B815" s="23">
        <v>1</v>
      </c>
      <c r="D815" t="s">
        <v>5368</v>
      </c>
      <c r="E815" t="s">
        <v>130</v>
      </c>
    </row>
    <row r="816" spans="1:5" x14ac:dyDescent="0.25">
      <c r="A816" t="s">
        <v>981</v>
      </c>
      <c r="B816" s="23">
        <v>1</v>
      </c>
      <c r="D816" t="s">
        <v>5369</v>
      </c>
      <c r="E816" t="s">
        <v>130</v>
      </c>
    </row>
    <row r="817" spans="1:5" x14ac:dyDescent="0.25">
      <c r="A817" t="s">
        <v>982</v>
      </c>
      <c r="B817" s="23">
        <v>1</v>
      </c>
      <c r="D817" t="s">
        <v>5370</v>
      </c>
      <c r="E817" t="s">
        <v>130</v>
      </c>
    </row>
    <row r="818" spans="1:5" x14ac:dyDescent="0.25">
      <c r="A818" t="s">
        <v>983</v>
      </c>
      <c r="B818" s="23">
        <v>1</v>
      </c>
      <c r="D818" t="s">
        <v>5371</v>
      </c>
      <c r="E818" t="s">
        <v>130</v>
      </c>
    </row>
    <row r="819" spans="1:5" x14ac:dyDescent="0.25">
      <c r="A819" t="s">
        <v>984</v>
      </c>
      <c r="B819" s="23">
        <v>1</v>
      </c>
      <c r="D819" t="s">
        <v>5372</v>
      </c>
      <c r="E819" t="s">
        <v>130</v>
      </c>
    </row>
    <row r="820" spans="1:5" x14ac:dyDescent="0.25">
      <c r="A820" t="s">
        <v>985</v>
      </c>
      <c r="B820" s="23">
        <v>1</v>
      </c>
      <c r="D820" t="s">
        <v>5373</v>
      </c>
      <c r="E820" t="s">
        <v>130</v>
      </c>
    </row>
    <row r="821" spans="1:5" x14ac:dyDescent="0.25">
      <c r="A821" t="s">
        <v>986</v>
      </c>
      <c r="B821" s="23">
        <v>4</v>
      </c>
      <c r="D821" t="s">
        <v>5374</v>
      </c>
      <c r="E821" t="s">
        <v>130</v>
      </c>
    </row>
    <row r="822" spans="1:5" x14ac:dyDescent="0.25">
      <c r="A822" t="s">
        <v>987</v>
      </c>
      <c r="B822" s="23">
        <v>4</v>
      </c>
      <c r="D822" t="s">
        <v>5375</v>
      </c>
      <c r="E822" t="s">
        <v>130</v>
      </c>
    </row>
    <row r="823" spans="1:5" x14ac:dyDescent="0.25">
      <c r="A823" t="s">
        <v>988</v>
      </c>
      <c r="B823" s="23">
        <v>4</v>
      </c>
      <c r="D823" t="s">
        <v>5376</v>
      </c>
      <c r="E823" t="s">
        <v>130</v>
      </c>
    </row>
    <row r="824" spans="1:5" x14ac:dyDescent="0.25">
      <c r="A824" t="s">
        <v>989</v>
      </c>
      <c r="B824" s="23">
        <v>4</v>
      </c>
      <c r="D824" t="s">
        <v>5377</v>
      </c>
      <c r="E824" t="s">
        <v>130</v>
      </c>
    </row>
    <row r="825" spans="1:5" x14ac:dyDescent="0.25">
      <c r="A825" t="s">
        <v>990</v>
      </c>
      <c r="B825" s="23">
        <v>4</v>
      </c>
      <c r="D825" t="s">
        <v>5378</v>
      </c>
      <c r="E825" t="s">
        <v>130</v>
      </c>
    </row>
    <row r="826" spans="1:5" x14ac:dyDescent="0.25">
      <c r="A826" t="s">
        <v>991</v>
      </c>
      <c r="B826" s="23">
        <v>4</v>
      </c>
      <c r="D826" t="s">
        <v>5379</v>
      </c>
      <c r="E826" t="s">
        <v>130</v>
      </c>
    </row>
    <row r="827" spans="1:5" x14ac:dyDescent="0.25">
      <c r="A827" t="s">
        <v>992</v>
      </c>
      <c r="B827" s="23">
        <v>4</v>
      </c>
      <c r="D827" t="s">
        <v>5380</v>
      </c>
      <c r="E827" t="s">
        <v>130</v>
      </c>
    </row>
    <row r="828" spans="1:5" x14ac:dyDescent="0.25">
      <c r="A828" t="s">
        <v>993</v>
      </c>
      <c r="B828" s="23">
        <v>4</v>
      </c>
      <c r="D828" t="s">
        <v>5381</v>
      </c>
      <c r="E828" t="s">
        <v>130</v>
      </c>
    </row>
    <row r="829" spans="1:5" x14ac:dyDescent="0.25">
      <c r="A829" t="s">
        <v>994</v>
      </c>
      <c r="B829" s="23">
        <v>4</v>
      </c>
      <c r="D829" t="s">
        <v>5382</v>
      </c>
      <c r="E829" t="s">
        <v>130</v>
      </c>
    </row>
    <row r="830" spans="1:5" x14ac:dyDescent="0.25">
      <c r="A830" t="s">
        <v>995</v>
      </c>
      <c r="B830" s="23">
        <v>4</v>
      </c>
      <c r="D830" t="s">
        <v>5383</v>
      </c>
      <c r="E830" t="s">
        <v>130</v>
      </c>
    </row>
    <row r="831" spans="1:5" x14ac:dyDescent="0.25">
      <c r="A831" t="s">
        <v>996</v>
      </c>
      <c r="B831" s="23">
        <v>6</v>
      </c>
      <c r="D831" t="s">
        <v>5384</v>
      </c>
      <c r="E831" t="s">
        <v>130</v>
      </c>
    </row>
    <row r="832" spans="1:5" x14ac:dyDescent="0.25">
      <c r="A832" t="s">
        <v>997</v>
      </c>
      <c r="B832" s="23">
        <v>6</v>
      </c>
      <c r="D832" t="s">
        <v>5385</v>
      </c>
      <c r="E832" t="s">
        <v>130</v>
      </c>
    </row>
    <row r="833" spans="1:5" x14ac:dyDescent="0.25">
      <c r="A833" t="s">
        <v>998</v>
      </c>
      <c r="B833" s="23">
        <v>6</v>
      </c>
      <c r="D833" t="s">
        <v>5386</v>
      </c>
      <c r="E833" t="s">
        <v>130</v>
      </c>
    </row>
    <row r="834" spans="1:5" x14ac:dyDescent="0.25">
      <c r="A834" t="s">
        <v>999</v>
      </c>
      <c r="B834" s="23">
        <v>6</v>
      </c>
      <c r="D834" t="s">
        <v>5387</v>
      </c>
      <c r="E834" t="s">
        <v>131</v>
      </c>
    </row>
    <row r="835" spans="1:5" x14ac:dyDescent="0.25">
      <c r="A835" t="s">
        <v>1000</v>
      </c>
      <c r="B835" s="23">
        <v>6</v>
      </c>
      <c r="D835" t="s">
        <v>5388</v>
      </c>
      <c r="E835" t="s">
        <v>131</v>
      </c>
    </row>
    <row r="836" spans="1:5" x14ac:dyDescent="0.25">
      <c r="A836" t="s">
        <v>1001</v>
      </c>
      <c r="B836" s="23">
        <v>8</v>
      </c>
      <c r="D836" t="s">
        <v>5389</v>
      </c>
      <c r="E836" t="s">
        <v>131</v>
      </c>
    </row>
    <row r="837" spans="1:5" x14ac:dyDescent="0.25">
      <c r="A837" t="s">
        <v>1002</v>
      </c>
      <c r="B837" s="23">
        <v>8</v>
      </c>
      <c r="D837" t="s">
        <v>5390</v>
      </c>
      <c r="E837" t="s">
        <v>131</v>
      </c>
    </row>
    <row r="838" spans="1:5" x14ac:dyDescent="0.25">
      <c r="A838" t="s">
        <v>1003</v>
      </c>
      <c r="B838" s="23">
        <v>8</v>
      </c>
      <c r="D838" t="s">
        <v>5391</v>
      </c>
      <c r="E838" t="s">
        <v>131</v>
      </c>
    </row>
    <row r="839" spans="1:5" x14ac:dyDescent="0.25">
      <c r="A839" t="s">
        <v>1004</v>
      </c>
      <c r="B839" s="23">
        <v>8</v>
      </c>
      <c r="D839" t="s">
        <v>5392</v>
      </c>
      <c r="E839" t="s">
        <v>131</v>
      </c>
    </row>
    <row r="840" spans="1:5" x14ac:dyDescent="0.25">
      <c r="A840" t="s">
        <v>1005</v>
      </c>
      <c r="B840" s="23">
        <v>8</v>
      </c>
      <c r="D840" t="s">
        <v>5393</v>
      </c>
      <c r="E840" t="s">
        <v>131</v>
      </c>
    </row>
    <row r="841" spans="1:5" x14ac:dyDescent="0.25">
      <c r="A841" t="s">
        <v>1006</v>
      </c>
      <c r="B841" s="23">
        <v>10</v>
      </c>
      <c r="D841" t="s">
        <v>5394</v>
      </c>
      <c r="E841" t="s">
        <v>131</v>
      </c>
    </row>
    <row r="842" spans="1:5" x14ac:dyDescent="0.25">
      <c r="A842" t="s">
        <v>1007</v>
      </c>
      <c r="B842" s="23">
        <v>10</v>
      </c>
      <c r="D842" t="s">
        <v>5395</v>
      </c>
      <c r="E842" t="s">
        <v>131</v>
      </c>
    </row>
    <row r="843" spans="1:5" x14ac:dyDescent="0.25">
      <c r="A843" t="s">
        <v>1008</v>
      </c>
      <c r="B843" s="23">
        <v>10</v>
      </c>
      <c r="D843" t="s">
        <v>5396</v>
      </c>
      <c r="E843" t="s">
        <v>131</v>
      </c>
    </row>
    <row r="844" spans="1:5" x14ac:dyDescent="0.25">
      <c r="A844" t="s">
        <v>1009</v>
      </c>
      <c r="B844" s="23">
        <v>10</v>
      </c>
      <c r="D844" t="s">
        <v>5397</v>
      </c>
      <c r="E844" t="s">
        <v>131</v>
      </c>
    </row>
    <row r="845" spans="1:5" x14ac:dyDescent="0.25">
      <c r="A845" t="s">
        <v>1010</v>
      </c>
      <c r="B845" s="23">
        <v>10</v>
      </c>
      <c r="D845" t="s">
        <v>5398</v>
      </c>
      <c r="E845" t="s">
        <v>131</v>
      </c>
    </row>
    <row r="846" spans="1:5" x14ac:dyDescent="0.25">
      <c r="A846" t="s">
        <v>1011</v>
      </c>
      <c r="B846" s="23">
        <v>12</v>
      </c>
      <c r="D846" t="s">
        <v>5399</v>
      </c>
      <c r="E846" t="s">
        <v>131</v>
      </c>
    </row>
    <row r="847" spans="1:5" x14ac:dyDescent="0.25">
      <c r="A847" t="s">
        <v>1012</v>
      </c>
      <c r="B847" s="23">
        <v>12</v>
      </c>
      <c r="D847" t="s">
        <v>5400</v>
      </c>
      <c r="E847" t="s">
        <v>131</v>
      </c>
    </row>
    <row r="848" spans="1:5" x14ac:dyDescent="0.25">
      <c r="A848" t="s">
        <v>1013</v>
      </c>
      <c r="B848" s="23">
        <v>12</v>
      </c>
      <c r="D848" t="s">
        <v>5401</v>
      </c>
      <c r="E848" t="s">
        <v>131</v>
      </c>
    </row>
    <row r="849" spans="1:5" x14ac:dyDescent="0.25">
      <c r="A849" t="s">
        <v>1014</v>
      </c>
      <c r="B849" s="23">
        <v>12</v>
      </c>
      <c r="D849" t="s">
        <v>5402</v>
      </c>
      <c r="E849" t="s">
        <v>131</v>
      </c>
    </row>
    <row r="850" spans="1:5" x14ac:dyDescent="0.25">
      <c r="A850" t="s">
        <v>1015</v>
      </c>
      <c r="B850" s="23">
        <v>12</v>
      </c>
      <c r="D850" t="s">
        <v>5403</v>
      </c>
      <c r="E850" t="s">
        <v>131</v>
      </c>
    </row>
    <row r="851" spans="1:5" x14ac:dyDescent="0.25">
      <c r="A851" t="s">
        <v>1016</v>
      </c>
      <c r="B851" s="23">
        <v>14</v>
      </c>
      <c r="D851" t="s">
        <v>5404</v>
      </c>
      <c r="E851" t="s">
        <v>131</v>
      </c>
    </row>
    <row r="852" spans="1:5" x14ac:dyDescent="0.25">
      <c r="A852" t="s">
        <v>1017</v>
      </c>
      <c r="B852" s="23">
        <v>14</v>
      </c>
      <c r="D852" t="s">
        <v>5405</v>
      </c>
      <c r="E852" t="s">
        <v>131</v>
      </c>
    </row>
    <row r="853" spans="1:5" x14ac:dyDescent="0.25">
      <c r="A853" t="s">
        <v>1018</v>
      </c>
      <c r="B853" s="23">
        <v>14</v>
      </c>
      <c r="D853" t="s">
        <v>5406</v>
      </c>
      <c r="E853" t="s">
        <v>131</v>
      </c>
    </row>
    <row r="854" spans="1:5" x14ac:dyDescent="0.25">
      <c r="A854" t="s">
        <v>1019</v>
      </c>
      <c r="B854" s="23">
        <v>14</v>
      </c>
      <c r="D854" t="s">
        <v>5407</v>
      </c>
      <c r="E854" t="s">
        <v>131</v>
      </c>
    </row>
    <row r="855" spans="1:5" x14ac:dyDescent="0.25">
      <c r="A855" t="s">
        <v>1020</v>
      </c>
      <c r="B855" s="23">
        <v>14</v>
      </c>
      <c r="D855" t="s">
        <v>5408</v>
      </c>
      <c r="E855" t="s">
        <v>131</v>
      </c>
    </row>
    <row r="856" spans="1:5" x14ac:dyDescent="0.25">
      <c r="A856" t="s">
        <v>1021</v>
      </c>
      <c r="B856" s="23">
        <v>15</v>
      </c>
      <c r="D856" t="s">
        <v>5409</v>
      </c>
      <c r="E856" t="s">
        <v>131</v>
      </c>
    </row>
    <row r="857" spans="1:5" x14ac:dyDescent="0.25">
      <c r="A857" t="s">
        <v>1022</v>
      </c>
      <c r="B857" s="23">
        <v>15</v>
      </c>
      <c r="D857" t="s">
        <v>5410</v>
      </c>
      <c r="E857" t="s">
        <v>131</v>
      </c>
    </row>
    <row r="858" spans="1:5" x14ac:dyDescent="0.25">
      <c r="A858" t="s">
        <v>1023</v>
      </c>
      <c r="B858" s="23">
        <v>15</v>
      </c>
      <c r="D858" t="s">
        <v>5411</v>
      </c>
      <c r="E858" t="s">
        <v>131</v>
      </c>
    </row>
    <row r="859" spans="1:5" x14ac:dyDescent="0.25">
      <c r="A859" t="s">
        <v>1024</v>
      </c>
      <c r="B859" s="23">
        <v>15</v>
      </c>
      <c r="D859" t="s">
        <v>5412</v>
      </c>
      <c r="E859" t="s">
        <v>131</v>
      </c>
    </row>
    <row r="860" spans="1:5" x14ac:dyDescent="0.25">
      <c r="A860" t="s">
        <v>1025</v>
      </c>
      <c r="B860" s="23">
        <v>15</v>
      </c>
      <c r="D860" t="s">
        <v>5413</v>
      </c>
      <c r="E860" t="s">
        <v>131</v>
      </c>
    </row>
    <row r="861" spans="1:5" x14ac:dyDescent="0.25">
      <c r="A861" t="s">
        <v>1026</v>
      </c>
      <c r="B861" s="23">
        <v>16</v>
      </c>
      <c r="D861" t="s">
        <v>5414</v>
      </c>
      <c r="E861" t="s">
        <v>131</v>
      </c>
    </row>
    <row r="862" spans="1:5" x14ac:dyDescent="0.25">
      <c r="A862" t="s">
        <v>1027</v>
      </c>
      <c r="B862" s="23">
        <v>16</v>
      </c>
      <c r="D862" t="s">
        <v>5415</v>
      </c>
      <c r="E862" t="s">
        <v>131</v>
      </c>
    </row>
    <row r="863" spans="1:5" x14ac:dyDescent="0.25">
      <c r="A863" t="s">
        <v>1028</v>
      </c>
      <c r="B863" s="23">
        <v>16</v>
      </c>
      <c r="D863" t="s">
        <v>5416</v>
      </c>
      <c r="E863" t="s">
        <v>131</v>
      </c>
    </row>
    <row r="864" spans="1:5" x14ac:dyDescent="0.25">
      <c r="A864" t="s">
        <v>1029</v>
      </c>
      <c r="B864" s="23">
        <v>16</v>
      </c>
      <c r="D864" t="s">
        <v>5417</v>
      </c>
      <c r="E864" t="s">
        <v>132</v>
      </c>
    </row>
    <row r="865" spans="1:5" x14ac:dyDescent="0.25">
      <c r="A865" t="s">
        <v>1030</v>
      </c>
      <c r="B865" s="23">
        <v>16</v>
      </c>
      <c r="D865" t="s">
        <v>5418</v>
      </c>
      <c r="E865" t="s">
        <v>132</v>
      </c>
    </row>
    <row r="866" spans="1:5" x14ac:dyDescent="0.25">
      <c r="A866" t="s">
        <v>1031</v>
      </c>
      <c r="B866" s="23">
        <v>17</v>
      </c>
      <c r="D866" t="s">
        <v>5419</v>
      </c>
      <c r="E866" t="s">
        <v>132</v>
      </c>
    </row>
    <row r="867" spans="1:5" x14ac:dyDescent="0.25">
      <c r="A867" t="s">
        <v>1032</v>
      </c>
      <c r="B867" s="23">
        <v>17</v>
      </c>
      <c r="D867" t="s">
        <v>5420</v>
      </c>
      <c r="E867" t="s">
        <v>132</v>
      </c>
    </row>
    <row r="868" spans="1:5" x14ac:dyDescent="0.25">
      <c r="A868" t="s">
        <v>1033</v>
      </c>
      <c r="B868" s="23">
        <v>17</v>
      </c>
      <c r="D868" t="s">
        <v>5421</v>
      </c>
      <c r="E868" t="s">
        <v>132</v>
      </c>
    </row>
    <row r="869" spans="1:5" x14ac:dyDescent="0.25">
      <c r="A869" t="s">
        <v>1034</v>
      </c>
      <c r="B869" s="23">
        <v>17</v>
      </c>
      <c r="D869" t="s">
        <v>5422</v>
      </c>
      <c r="E869" t="s">
        <v>132</v>
      </c>
    </row>
    <row r="870" spans="1:5" x14ac:dyDescent="0.25">
      <c r="A870" t="s">
        <v>1035</v>
      </c>
      <c r="B870" s="23">
        <v>17</v>
      </c>
      <c r="D870" t="s">
        <v>5423</v>
      </c>
      <c r="E870" t="s">
        <v>132</v>
      </c>
    </row>
    <row r="871" spans="1:5" x14ac:dyDescent="0.25">
      <c r="A871" t="s">
        <v>1036</v>
      </c>
      <c r="B871" s="23">
        <v>18</v>
      </c>
      <c r="D871" t="s">
        <v>5424</v>
      </c>
      <c r="E871" t="s">
        <v>132</v>
      </c>
    </row>
    <row r="872" spans="1:5" x14ac:dyDescent="0.25">
      <c r="A872" t="s">
        <v>1037</v>
      </c>
      <c r="B872" s="23">
        <v>18</v>
      </c>
      <c r="D872" t="s">
        <v>5425</v>
      </c>
      <c r="E872" t="s">
        <v>132</v>
      </c>
    </row>
    <row r="873" spans="1:5" x14ac:dyDescent="0.25">
      <c r="A873" t="s">
        <v>1038</v>
      </c>
      <c r="B873" s="23">
        <v>18</v>
      </c>
      <c r="D873" t="s">
        <v>5426</v>
      </c>
      <c r="E873" t="s">
        <v>132</v>
      </c>
    </row>
    <row r="874" spans="1:5" x14ac:dyDescent="0.25">
      <c r="A874" t="s">
        <v>1039</v>
      </c>
      <c r="B874" s="23">
        <v>18</v>
      </c>
      <c r="D874" t="s">
        <v>5427</v>
      </c>
      <c r="E874" t="s">
        <v>132</v>
      </c>
    </row>
    <row r="875" spans="1:5" x14ac:dyDescent="0.25">
      <c r="A875" t="s">
        <v>1040</v>
      </c>
      <c r="B875" s="23">
        <v>18</v>
      </c>
      <c r="D875" t="s">
        <v>5428</v>
      </c>
      <c r="E875" t="s">
        <v>132</v>
      </c>
    </row>
    <row r="876" spans="1:5" x14ac:dyDescent="0.25">
      <c r="A876" t="s">
        <v>1041</v>
      </c>
      <c r="B876" s="23">
        <v>19</v>
      </c>
      <c r="D876" t="s">
        <v>5429</v>
      </c>
      <c r="E876" t="s">
        <v>132</v>
      </c>
    </row>
    <row r="877" spans="1:5" x14ac:dyDescent="0.25">
      <c r="A877" t="s">
        <v>1042</v>
      </c>
      <c r="B877" s="23">
        <v>19</v>
      </c>
      <c r="D877" t="s">
        <v>5430</v>
      </c>
      <c r="E877" t="s">
        <v>132</v>
      </c>
    </row>
    <row r="878" spans="1:5" x14ac:dyDescent="0.25">
      <c r="A878" t="s">
        <v>1043</v>
      </c>
      <c r="B878" s="23">
        <v>19</v>
      </c>
      <c r="D878" t="s">
        <v>5431</v>
      </c>
      <c r="E878" t="s">
        <v>132</v>
      </c>
    </row>
    <row r="879" spans="1:5" x14ac:dyDescent="0.25">
      <c r="A879" t="s">
        <v>1044</v>
      </c>
      <c r="B879" s="23">
        <v>19</v>
      </c>
      <c r="D879" t="s">
        <v>5432</v>
      </c>
      <c r="E879" t="s">
        <v>132</v>
      </c>
    </row>
    <row r="880" spans="1:5" x14ac:dyDescent="0.25">
      <c r="A880" t="s">
        <v>1045</v>
      </c>
      <c r="B880" s="23">
        <v>19</v>
      </c>
      <c r="D880" t="s">
        <v>5433</v>
      </c>
      <c r="E880" t="s">
        <v>132</v>
      </c>
    </row>
    <row r="881" spans="1:5" x14ac:dyDescent="0.25">
      <c r="A881" t="s">
        <v>1046</v>
      </c>
      <c r="B881" s="23">
        <v>20</v>
      </c>
      <c r="D881" t="s">
        <v>5434</v>
      </c>
      <c r="E881" t="s">
        <v>132</v>
      </c>
    </row>
    <row r="882" spans="1:5" x14ac:dyDescent="0.25">
      <c r="A882" t="s">
        <v>1047</v>
      </c>
      <c r="B882" s="23">
        <v>20</v>
      </c>
      <c r="D882" t="s">
        <v>5435</v>
      </c>
      <c r="E882" t="s">
        <v>132</v>
      </c>
    </row>
    <row r="883" spans="1:5" x14ac:dyDescent="0.25">
      <c r="A883" t="s">
        <v>1048</v>
      </c>
      <c r="B883" s="23">
        <v>21</v>
      </c>
      <c r="D883" t="s">
        <v>5436</v>
      </c>
      <c r="E883" t="s">
        <v>132</v>
      </c>
    </row>
    <row r="884" spans="1:5" x14ac:dyDescent="0.25">
      <c r="A884" t="s">
        <v>1049</v>
      </c>
      <c r="B884" s="23">
        <v>21</v>
      </c>
      <c r="D884" t="s">
        <v>5437</v>
      </c>
      <c r="E884" t="s">
        <v>133</v>
      </c>
    </row>
    <row r="885" spans="1:5" x14ac:dyDescent="0.25">
      <c r="A885" t="s">
        <v>1050</v>
      </c>
      <c r="B885" s="23">
        <v>22</v>
      </c>
      <c r="D885" t="s">
        <v>5438</v>
      </c>
      <c r="E885" t="s">
        <v>133</v>
      </c>
    </row>
    <row r="886" spans="1:5" x14ac:dyDescent="0.25">
      <c r="A886" t="s">
        <v>1051</v>
      </c>
      <c r="B886" s="23">
        <v>22</v>
      </c>
      <c r="D886" t="s">
        <v>5439</v>
      </c>
      <c r="E886" t="s">
        <v>133</v>
      </c>
    </row>
    <row r="887" spans="1:5" x14ac:dyDescent="0.25">
      <c r="A887" t="s">
        <v>1052</v>
      </c>
      <c r="B887" s="23">
        <v>23</v>
      </c>
      <c r="D887" t="s">
        <v>5440</v>
      </c>
      <c r="E887" t="s">
        <v>133</v>
      </c>
    </row>
    <row r="888" spans="1:5" x14ac:dyDescent="0.25">
      <c r="A888" t="s">
        <v>1053</v>
      </c>
      <c r="B888" s="23">
        <v>23</v>
      </c>
      <c r="D888" t="s">
        <v>5441</v>
      </c>
      <c r="E888" t="s">
        <v>133</v>
      </c>
    </row>
    <row r="889" spans="1:5" x14ac:dyDescent="0.25">
      <c r="A889" t="s">
        <v>1054</v>
      </c>
      <c r="B889" s="23">
        <v>24</v>
      </c>
      <c r="D889" t="s">
        <v>5442</v>
      </c>
      <c r="E889" t="s">
        <v>133</v>
      </c>
    </row>
    <row r="890" spans="1:5" x14ac:dyDescent="0.25">
      <c r="A890" t="s">
        <v>1055</v>
      </c>
      <c r="B890" s="23">
        <v>24</v>
      </c>
      <c r="D890" t="s">
        <v>5443</v>
      </c>
      <c r="E890" t="s">
        <v>133</v>
      </c>
    </row>
    <row r="891" spans="1:5" x14ac:dyDescent="0.25">
      <c r="A891" t="s">
        <v>1056</v>
      </c>
      <c r="B891" s="23">
        <v>25</v>
      </c>
      <c r="D891" t="s">
        <v>5444</v>
      </c>
      <c r="E891" t="s">
        <v>133</v>
      </c>
    </row>
    <row r="892" spans="1:5" x14ac:dyDescent="0.25">
      <c r="A892" t="s">
        <v>1057</v>
      </c>
      <c r="B892" s="23">
        <v>25</v>
      </c>
      <c r="D892" t="s">
        <v>5445</v>
      </c>
      <c r="E892" t="s">
        <v>133</v>
      </c>
    </row>
    <row r="893" spans="1:5" x14ac:dyDescent="0.25">
      <c r="A893" t="s">
        <v>1058</v>
      </c>
      <c r="B893" s="23">
        <v>26</v>
      </c>
      <c r="D893" t="s">
        <v>5446</v>
      </c>
      <c r="E893" t="s">
        <v>133</v>
      </c>
    </row>
    <row r="894" spans="1:5" x14ac:dyDescent="0.25">
      <c r="A894" t="s">
        <v>1059</v>
      </c>
      <c r="B894" s="23">
        <v>26</v>
      </c>
      <c r="D894" t="s">
        <v>5447</v>
      </c>
      <c r="E894" t="s">
        <v>133</v>
      </c>
    </row>
    <row r="895" spans="1:5" x14ac:dyDescent="0.25">
      <c r="A895" t="s">
        <v>1060</v>
      </c>
      <c r="B895" s="23">
        <v>27</v>
      </c>
      <c r="D895" t="s">
        <v>5448</v>
      </c>
      <c r="E895" t="s">
        <v>133</v>
      </c>
    </row>
    <row r="896" spans="1:5" x14ac:dyDescent="0.25">
      <c r="A896" t="s">
        <v>1061</v>
      </c>
      <c r="B896" s="23">
        <v>27</v>
      </c>
      <c r="D896" t="s">
        <v>5449</v>
      </c>
      <c r="E896" t="s">
        <v>133</v>
      </c>
    </row>
    <row r="897" spans="1:5" x14ac:dyDescent="0.25">
      <c r="A897" t="s">
        <v>1062</v>
      </c>
      <c r="B897" s="23">
        <v>28</v>
      </c>
      <c r="D897" t="s">
        <v>5450</v>
      </c>
      <c r="E897" t="s">
        <v>133</v>
      </c>
    </row>
    <row r="898" spans="1:5" x14ac:dyDescent="0.25">
      <c r="A898" t="s">
        <v>1063</v>
      </c>
      <c r="B898" s="23">
        <v>28</v>
      </c>
      <c r="D898" t="s">
        <v>5451</v>
      </c>
      <c r="E898" t="s">
        <v>133</v>
      </c>
    </row>
    <row r="899" spans="1:5" x14ac:dyDescent="0.25">
      <c r="A899" t="s">
        <v>1064</v>
      </c>
      <c r="B899" s="23">
        <v>29</v>
      </c>
      <c r="D899" t="s">
        <v>5452</v>
      </c>
      <c r="E899" t="s">
        <v>133</v>
      </c>
    </row>
    <row r="900" spans="1:5" x14ac:dyDescent="0.25">
      <c r="A900" t="s">
        <v>1065</v>
      </c>
      <c r="B900" s="23">
        <v>29</v>
      </c>
      <c r="D900" t="s">
        <v>5453</v>
      </c>
      <c r="E900" t="s">
        <v>133</v>
      </c>
    </row>
    <row r="901" spans="1:5" x14ac:dyDescent="0.25">
      <c r="A901" t="s">
        <v>1066</v>
      </c>
      <c r="B901" s="23">
        <v>30</v>
      </c>
      <c r="D901" t="s">
        <v>5454</v>
      </c>
      <c r="E901" t="s">
        <v>133</v>
      </c>
    </row>
    <row r="902" spans="1:5" x14ac:dyDescent="0.25">
      <c r="A902" t="s">
        <v>1067</v>
      </c>
      <c r="B902" s="23">
        <v>30</v>
      </c>
      <c r="D902" t="s">
        <v>5455</v>
      </c>
      <c r="E902" t="s">
        <v>133</v>
      </c>
    </row>
    <row r="903" spans="1:5" x14ac:dyDescent="0.25">
      <c r="A903" t="s">
        <v>1068</v>
      </c>
      <c r="B903" s="23">
        <v>30</v>
      </c>
      <c r="D903" t="s">
        <v>5456</v>
      </c>
      <c r="E903" t="s">
        <v>133</v>
      </c>
    </row>
    <row r="904" spans="1:5" x14ac:dyDescent="0.25">
      <c r="A904" t="s">
        <v>1069</v>
      </c>
      <c r="B904" s="23">
        <v>30</v>
      </c>
      <c r="D904" t="s">
        <v>5457</v>
      </c>
      <c r="E904" t="s">
        <v>134</v>
      </c>
    </row>
    <row r="905" spans="1:5" x14ac:dyDescent="0.25">
      <c r="A905" t="s">
        <v>1070</v>
      </c>
      <c r="B905" s="23">
        <v>30</v>
      </c>
      <c r="D905" t="s">
        <v>5458</v>
      </c>
      <c r="E905" t="s">
        <v>134</v>
      </c>
    </row>
    <row r="906" spans="1:5" x14ac:dyDescent="0.25">
      <c r="A906" t="s">
        <v>1071</v>
      </c>
      <c r="B906" s="23">
        <v>31</v>
      </c>
      <c r="D906" t="s">
        <v>5459</v>
      </c>
      <c r="E906" t="s">
        <v>134</v>
      </c>
    </row>
    <row r="907" spans="1:5" x14ac:dyDescent="0.25">
      <c r="A907" t="s">
        <v>1072</v>
      </c>
      <c r="B907" s="23">
        <v>31</v>
      </c>
      <c r="D907" t="s">
        <v>5460</v>
      </c>
      <c r="E907" t="s">
        <v>134</v>
      </c>
    </row>
    <row r="908" spans="1:5" x14ac:dyDescent="0.25">
      <c r="A908" t="s">
        <v>1073</v>
      </c>
      <c r="B908" s="23">
        <v>31</v>
      </c>
      <c r="D908" t="s">
        <v>5461</v>
      </c>
      <c r="E908" t="s">
        <v>134</v>
      </c>
    </row>
    <row r="909" spans="1:5" x14ac:dyDescent="0.25">
      <c r="A909" t="s">
        <v>1074</v>
      </c>
      <c r="B909" s="23">
        <v>31</v>
      </c>
      <c r="D909" t="s">
        <v>5462</v>
      </c>
      <c r="E909" t="s">
        <v>134</v>
      </c>
    </row>
    <row r="910" spans="1:5" x14ac:dyDescent="0.25">
      <c r="A910" t="s">
        <v>1075</v>
      </c>
      <c r="B910" s="23">
        <v>31</v>
      </c>
      <c r="D910" t="s">
        <v>5463</v>
      </c>
      <c r="E910" t="s">
        <v>134</v>
      </c>
    </row>
    <row r="911" spans="1:5" x14ac:dyDescent="0.25">
      <c r="A911" t="s">
        <v>1076</v>
      </c>
      <c r="B911" s="23">
        <v>32</v>
      </c>
      <c r="D911" t="s">
        <v>5464</v>
      </c>
      <c r="E911" t="s">
        <v>134</v>
      </c>
    </row>
    <row r="912" spans="1:5" x14ac:dyDescent="0.25">
      <c r="A912" t="s">
        <v>1077</v>
      </c>
      <c r="B912" s="23">
        <v>32</v>
      </c>
      <c r="D912" t="s">
        <v>5465</v>
      </c>
      <c r="E912" t="s">
        <v>134</v>
      </c>
    </row>
    <row r="913" spans="1:5" x14ac:dyDescent="0.25">
      <c r="A913" t="s">
        <v>1078</v>
      </c>
      <c r="B913" s="23">
        <v>32</v>
      </c>
      <c r="D913" t="s">
        <v>5466</v>
      </c>
      <c r="E913" t="s">
        <v>134</v>
      </c>
    </row>
    <row r="914" spans="1:5" x14ac:dyDescent="0.25">
      <c r="A914" t="s">
        <v>1079</v>
      </c>
      <c r="B914" s="23">
        <v>32</v>
      </c>
      <c r="D914" t="s">
        <v>5467</v>
      </c>
      <c r="E914" t="s">
        <v>134</v>
      </c>
    </row>
    <row r="915" spans="1:5" x14ac:dyDescent="0.25">
      <c r="A915" t="s">
        <v>1080</v>
      </c>
      <c r="B915" s="23">
        <v>32</v>
      </c>
      <c r="D915" t="s">
        <v>5468</v>
      </c>
      <c r="E915" t="s">
        <v>134</v>
      </c>
    </row>
    <row r="916" spans="1:5" x14ac:dyDescent="0.25">
      <c r="A916" t="s">
        <v>1081</v>
      </c>
      <c r="B916" s="23">
        <v>33</v>
      </c>
      <c r="D916" t="s">
        <v>5469</v>
      </c>
      <c r="E916" t="s">
        <v>134</v>
      </c>
    </row>
    <row r="917" spans="1:5" x14ac:dyDescent="0.25">
      <c r="A917" t="s">
        <v>1082</v>
      </c>
      <c r="B917" s="23">
        <v>33</v>
      </c>
      <c r="D917" t="s">
        <v>5470</v>
      </c>
      <c r="E917" t="s">
        <v>134</v>
      </c>
    </row>
    <row r="918" spans="1:5" x14ac:dyDescent="0.25">
      <c r="A918" t="s">
        <v>1083</v>
      </c>
      <c r="B918" s="23">
        <v>33</v>
      </c>
      <c r="D918" t="s">
        <v>5471</v>
      </c>
      <c r="E918" t="s">
        <v>134</v>
      </c>
    </row>
    <row r="919" spans="1:5" x14ac:dyDescent="0.25">
      <c r="A919" t="s">
        <v>1084</v>
      </c>
      <c r="B919" s="23">
        <v>33</v>
      </c>
      <c r="D919" t="s">
        <v>5472</v>
      </c>
      <c r="E919" t="s">
        <v>135</v>
      </c>
    </row>
    <row r="920" spans="1:5" x14ac:dyDescent="0.25">
      <c r="A920" t="s">
        <v>1085</v>
      </c>
      <c r="B920" s="23">
        <v>33</v>
      </c>
      <c r="D920" t="s">
        <v>5473</v>
      </c>
      <c r="E920" t="s">
        <v>135</v>
      </c>
    </row>
    <row r="921" spans="1:5" x14ac:dyDescent="0.25">
      <c r="A921" t="s">
        <v>1086</v>
      </c>
      <c r="B921" s="23">
        <v>34</v>
      </c>
      <c r="D921" t="s">
        <v>5474</v>
      </c>
      <c r="E921" t="s">
        <v>135</v>
      </c>
    </row>
    <row r="922" spans="1:5" x14ac:dyDescent="0.25">
      <c r="A922" t="s">
        <v>1087</v>
      </c>
      <c r="B922" s="23">
        <v>34</v>
      </c>
      <c r="D922" t="s">
        <v>5475</v>
      </c>
      <c r="E922" t="s">
        <v>135</v>
      </c>
    </row>
    <row r="923" spans="1:5" x14ac:dyDescent="0.25">
      <c r="A923" t="s">
        <v>1088</v>
      </c>
      <c r="B923" s="23">
        <v>34</v>
      </c>
      <c r="D923" t="s">
        <v>5476</v>
      </c>
      <c r="E923" t="s">
        <v>135</v>
      </c>
    </row>
    <row r="924" spans="1:5" x14ac:dyDescent="0.25">
      <c r="A924" t="s">
        <v>1089</v>
      </c>
      <c r="B924" s="23">
        <v>34</v>
      </c>
      <c r="D924" t="s">
        <v>5477</v>
      </c>
      <c r="E924" t="s">
        <v>135</v>
      </c>
    </row>
    <row r="925" spans="1:5" x14ac:dyDescent="0.25">
      <c r="A925" t="s">
        <v>1090</v>
      </c>
      <c r="B925" s="23">
        <v>34</v>
      </c>
      <c r="D925" t="s">
        <v>5478</v>
      </c>
      <c r="E925" t="s">
        <v>135</v>
      </c>
    </row>
    <row r="926" spans="1:5" x14ac:dyDescent="0.25">
      <c r="A926" t="s">
        <v>1091</v>
      </c>
      <c r="B926" s="23">
        <v>35</v>
      </c>
      <c r="D926" t="s">
        <v>5479</v>
      </c>
      <c r="E926" t="s">
        <v>135</v>
      </c>
    </row>
    <row r="927" spans="1:5" x14ac:dyDescent="0.25">
      <c r="A927" t="s">
        <v>1092</v>
      </c>
      <c r="B927" s="23">
        <v>35</v>
      </c>
      <c r="D927" t="s">
        <v>5480</v>
      </c>
      <c r="E927" t="s">
        <v>135</v>
      </c>
    </row>
    <row r="928" spans="1:5" x14ac:dyDescent="0.25">
      <c r="A928" t="s">
        <v>1093</v>
      </c>
      <c r="B928" s="23">
        <v>35</v>
      </c>
      <c r="D928" t="s">
        <v>5481</v>
      </c>
      <c r="E928" t="s">
        <v>135</v>
      </c>
    </row>
    <row r="929" spans="1:5" x14ac:dyDescent="0.25">
      <c r="A929" t="s">
        <v>1094</v>
      </c>
      <c r="B929" s="23">
        <v>35</v>
      </c>
      <c r="D929" t="s">
        <v>5482</v>
      </c>
      <c r="E929" t="s">
        <v>135</v>
      </c>
    </row>
    <row r="930" spans="1:5" x14ac:dyDescent="0.25">
      <c r="A930" t="s">
        <v>1095</v>
      </c>
      <c r="B930" s="23">
        <v>35</v>
      </c>
      <c r="D930" t="s">
        <v>5483</v>
      </c>
      <c r="E930" t="s">
        <v>135</v>
      </c>
    </row>
    <row r="931" spans="1:5" x14ac:dyDescent="0.25">
      <c r="A931" t="s">
        <v>1096</v>
      </c>
      <c r="B931" s="23">
        <v>36</v>
      </c>
      <c r="D931" t="s">
        <v>5484</v>
      </c>
      <c r="E931" t="s">
        <v>135</v>
      </c>
    </row>
    <row r="932" spans="1:5" x14ac:dyDescent="0.25">
      <c r="A932" t="s">
        <v>1097</v>
      </c>
      <c r="B932" s="23">
        <v>36</v>
      </c>
      <c r="D932" t="s">
        <v>5485</v>
      </c>
      <c r="E932" t="s">
        <v>135</v>
      </c>
    </row>
    <row r="933" spans="1:5" x14ac:dyDescent="0.25">
      <c r="A933" t="s">
        <v>1098</v>
      </c>
      <c r="B933" s="23">
        <v>36</v>
      </c>
      <c r="D933" t="s">
        <v>5486</v>
      </c>
      <c r="E933" t="s">
        <v>135</v>
      </c>
    </row>
    <row r="934" spans="1:5" x14ac:dyDescent="0.25">
      <c r="A934" t="s">
        <v>1099</v>
      </c>
      <c r="B934" s="23">
        <v>36</v>
      </c>
      <c r="D934" t="s">
        <v>5487</v>
      </c>
      <c r="E934" t="s">
        <v>135</v>
      </c>
    </row>
    <row r="935" spans="1:5" x14ac:dyDescent="0.25">
      <c r="A935" t="s">
        <v>1100</v>
      </c>
      <c r="B935" s="23">
        <v>36</v>
      </c>
      <c r="D935" t="s">
        <v>5488</v>
      </c>
      <c r="E935" t="s">
        <v>135</v>
      </c>
    </row>
    <row r="936" spans="1:5" x14ac:dyDescent="0.25">
      <c r="A936" t="s">
        <v>1101</v>
      </c>
      <c r="B936" s="23">
        <v>37</v>
      </c>
      <c r="D936" t="s">
        <v>5489</v>
      </c>
      <c r="E936" t="s">
        <v>135</v>
      </c>
    </row>
    <row r="937" spans="1:5" x14ac:dyDescent="0.25">
      <c r="A937" t="s">
        <v>1102</v>
      </c>
      <c r="B937" s="23">
        <v>37</v>
      </c>
      <c r="D937" t="s">
        <v>5490</v>
      </c>
      <c r="E937" t="s">
        <v>135</v>
      </c>
    </row>
    <row r="938" spans="1:5" x14ac:dyDescent="0.25">
      <c r="A938" t="s">
        <v>1103</v>
      </c>
      <c r="B938" s="23">
        <v>37</v>
      </c>
      <c r="D938" t="s">
        <v>5491</v>
      </c>
      <c r="E938" t="s">
        <v>135</v>
      </c>
    </row>
    <row r="939" spans="1:5" x14ac:dyDescent="0.25">
      <c r="A939" t="s">
        <v>1104</v>
      </c>
      <c r="B939" s="23">
        <v>37</v>
      </c>
      <c r="D939" t="s">
        <v>5492</v>
      </c>
      <c r="E939" t="s">
        <v>135</v>
      </c>
    </row>
    <row r="940" spans="1:5" x14ac:dyDescent="0.25">
      <c r="A940" t="s">
        <v>1105</v>
      </c>
      <c r="B940" s="23">
        <v>37</v>
      </c>
      <c r="D940" t="s">
        <v>5493</v>
      </c>
      <c r="E940" t="s">
        <v>135</v>
      </c>
    </row>
    <row r="941" spans="1:5" x14ac:dyDescent="0.25">
      <c r="A941" t="s">
        <v>1106</v>
      </c>
      <c r="B941" s="23">
        <v>38</v>
      </c>
      <c r="D941" t="s">
        <v>5494</v>
      </c>
      <c r="E941" t="s">
        <v>135</v>
      </c>
    </row>
    <row r="942" spans="1:5" x14ac:dyDescent="0.25">
      <c r="A942" t="s">
        <v>1107</v>
      </c>
      <c r="B942" s="23">
        <v>39</v>
      </c>
      <c r="D942" t="s">
        <v>5495</v>
      </c>
      <c r="E942" t="s">
        <v>135</v>
      </c>
    </row>
    <row r="943" spans="1:5" x14ac:dyDescent="0.25">
      <c r="A943" t="s">
        <v>1108</v>
      </c>
      <c r="B943" s="23">
        <v>40</v>
      </c>
      <c r="D943" t="s">
        <v>5496</v>
      </c>
      <c r="E943" t="s">
        <v>135</v>
      </c>
    </row>
    <row r="944" spans="1:5" x14ac:dyDescent="0.25">
      <c r="A944" t="s">
        <v>1109</v>
      </c>
      <c r="B944" s="23">
        <v>41</v>
      </c>
      <c r="D944" t="s">
        <v>5497</v>
      </c>
      <c r="E944" t="s">
        <v>135</v>
      </c>
    </row>
    <row r="945" spans="1:5" x14ac:dyDescent="0.25">
      <c r="A945" t="s">
        <v>1110</v>
      </c>
      <c r="B945" s="23">
        <v>42</v>
      </c>
      <c r="D945" t="s">
        <v>5498</v>
      </c>
      <c r="E945" t="s">
        <v>135</v>
      </c>
    </row>
    <row r="946" spans="1:5" x14ac:dyDescent="0.25">
      <c r="A946" t="s">
        <v>1111</v>
      </c>
      <c r="B946" s="23">
        <v>42</v>
      </c>
      <c r="D946" t="s">
        <v>5499</v>
      </c>
      <c r="E946" t="s">
        <v>135</v>
      </c>
    </row>
    <row r="947" spans="1:5" x14ac:dyDescent="0.25">
      <c r="A947" t="s">
        <v>1112</v>
      </c>
      <c r="B947" s="23">
        <v>43</v>
      </c>
      <c r="D947" t="s">
        <v>5500</v>
      </c>
      <c r="E947" t="s">
        <v>135</v>
      </c>
    </row>
    <row r="948" spans="1:5" x14ac:dyDescent="0.25">
      <c r="A948" t="s">
        <v>1113</v>
      </c>
      <c r="B948" s="23">
        <v>43</v>
      </c>
      <c r="D948" t="s">
        <v>5501</v>
      </c>
      <c r="E948" t="s">
        <v>135</v>
      </c>
    </row>
    <row r="949" spans="1:5" x14ac:dyDescent="0.25">
      <c r="A949" t="s">
        <v>1114</v>
      </c>
      <c r="B949" s="23">
        <v>44</v>
      </c>
      <c r="D949" t="s">
        <v>5502</v>
      </c>
      <c r="E949" t="s">
        <v>135</v>
      </c>
    </row>
    <row r="950" spans="1:5" x14ac:dyDescent="0.25">
      <c r="A950" t="s">
        <v>1115</v>
      </c>
      <c r="B950" s="23">
        <v>44</v>
      </c>
      <c r="D950" t="s">
        <v>5503</v>
      </c>
      <c r="E950" t="s">
        <v>135</v>
      </c>
    </row>
    <row r="951" spans="1:5" x14ac:dyDescent="0.25">
      <c r="A951" t="s">
        <v>1116</v>
      </c>
      <c r="B951" s="23">
        <v>45</v>
      </c>
      <c r="D951" t="s">
        <v>5504</v>
      </c>
      <c r="E951" t="s">
        <v>135</v>
      </c>
    </row>
    <row r="952" spans="1:5" x14ac:dyDescent="0.25">
      <c r="A952" t="s">
        <v>1117</v>
      </c>
      <c r="B952" s="23">
        <v>46</v>
      </c>
      <c r="D952" t="s">
        <v>5505</v>
      </c>
      <c r="E952" t="s">
        <v>135</v>
      </c>
    </row>
    <row r="953" spans="1:5" x14ac:dyDescent="0.25">
      <c r="A953" t="s">
        <v>1118</v>
      </c>
      <c r="B953" s="23">
        <v>47</v>
      </c>
      <c r="D953" t="s">
        <v>5506</v>
      </c>
      <c r="E953" t="s">
        <v>135</v>
      </c>
    </row>
    <row r="954" spans="1:5" x14ac:dyDescent="0.25">
      <c r="A954" t="s">
        <v>1119</v>
      </c>
      <c r="B954" s="23">
        <v>48</v>
      </c>
      <c r="D954" t="s">
        <v>5507</v>
      </c>
      <c r="E954" s="23" t="s">
        <v>136</v>
      </c>
    </row>
    <row r="955" spans="1:5" x14ac:dyDescent="0.25">
      <c r="A955" t="s">
        <v>1120</v>
      </c>
      <c r="B955" s="23">
        <v>49</v>
      </c>
      <c r="D955" t="s">
        <v>5508</v>
      </c>
      <c r="E955" s="23" t="s">
        <v>136</v>
      </c>
    </row>
    <row r="956" spans="1:5" x14ac:dyDescent="0.25">
      <c r="A956" t="s">
        <v>1121</v>
      </c>
      <c r="B956" s="23">
        <v>50</v>
      </c>
      <c r="D956" t="s">
        <v>5509</v>
      </c>
      <c r="E956" s="23" t="s">
        <v>136</v>
      </c>
    </row>
    <row r="957" spans="1:5" x14ac:dyDescent="0.25">
      <c r="A957" t="s">
        <v>1122</v>
      </c>
      <c r="B957" s="23">
        <v>51</v>
      </c>
      <c r="D957" t="s">
        <v>5510</v>
      </c>
      <c r="E957" s="23" t="s">
        <v>136</v>
      </c>
    </row>
    <row r="958" spans="1:5" x14ac:dyDescent="0.25">
      <c r="A958" t="s">
        <v>1123</v>
      </c>
      <c r="B958" s="23">
        <v>52</v>
      </c>
      <c r="D958" t="s">
        <v>5511</v>
      </c>
      <c r="E958" s="23" t="s">
        <v>136</v>
      </c>
    </row>
    <row r="959" spans="1:5" x14ac:dyDescent="0.25">
      <c r="A959" t="s">
        <v>1124</v>
      </c>
      <c r="B959" s="23">
        <v>53</v>
      </c>
      <c r="D959" t="s">
        <v>5512</v>
      </c>
      <c r="E959" s="23" t="s">
        <v>136</v>
      </c>
    </row>
    <row r="960" spans="1:5" x14ac:dyDescent="0.25">
      <c r="A960" t="s">
        <v>1125</v>
      </c>
      <c r="B960" s="23">
        <v>54</v>
      </c>
      <c r="D960" t="s">
        <v>5513</v>
      </c>
      <c r="E960" s="23" t="s">
        <v>136</v>
      </c>
    </row>
    <row r="961" spans="1:5" x14ac:dyDescent="0.25">
      <c r="A961" t="s">
        <v>1126</v>
      </c>
      <c r="B961" s="23">
        <v>55</v>
      </c>
      <c r="D961" t="s">
        <v>5514</v>
      </c>
      <c r="E961" s="23" t="s">
        <v>136</v>
      </c>
    </row>
    <row r="962" spans="1:5" x14ac:dyDescent="0.25">
      <c r="A962" t="s">
        <v>1127</v>
      </c>
      <c r="B962" s="23">
        <v>55</v>
      </c>
      <c r="D962" t="s">
        <v>5515</v>
      </c>
      <c r="E962" s="23" t="s">
        <v>136</v>
      </c>
    </row>
    <row r="963" spans="1:5" x14ac:dyDescent="0.25">
      <c r="A963" t="s">
        <v>1128</v>
      </c>
      <c r="B963" s="23">
        <v>56</v>
      </c>
      <c r="D963" t="s">
        <v>5516</v>
      </c>
      <c r="E963" s="23" t="s">
        <v>136</v>
      </c>
    </row>
    <row r="964" spans="1:5" x14ac:dyDescent="0.25">
      <c r="A964" t="s">
        <v>1129</v>
      </c>
      <c r="B964" s="23">
        <v>56</v>
      </c>
      <c r="D964" t="s">
        <v>5517</v>
      </c>
      <c r="E964" s="23" t="s">
        <v>136</v>
      </c>
    </row>
    <row r="965" spans="1:5" x14ac:dyDescent="0.25">
      <c r="A965" t="s">
        <v>1130</v>
      </c>
      <c r="B965" s="23">
        <v>57</v>
      </c>
      <c r="D965" t="s">
        <v>5518</v>
      </c>
      <c r="E965" s="23" t="s">
        <v>136</v>
      </c>
    </row>
    <row r="966" spans="1:5" x14ac:dyDescent="0.25">
      <c r="A966" t="s">
        <v>1131</v>
      </c>
      <c r="B966" s="23">
        <v>57</v>
      </c>
      <c r="D966" t="s">
        <v>5519</v>
      </c>
      <c r="E966" s="23" t="s">
        <v>136</v>
      </c>
    </row>
    <row r="967" spans="1:5" x14ac:dyDescent="0.25">
      <c r="A967" t="s">
        <v>1132</v>
      </c>
      <c r="B967" s="23">
        <v>58</v>
      </c>
      <c r="D967" t="s">
        <v>5520</v>
      </c>
      <c r="E967" s="23" t="s">
        <v>136</v>
      </c>
    </row>
    <row r="968" spans="1:5" x14ac:dyDescent="0.25">
      <c r="A968" t="s">
        <v>1133</v>
      </c>
      <c r="B968" s="23">
        <v>58</v>
      </c>
      <c r="D968" t="s">
        <v>5521</v>
      </c>
      <c r="E968" s="23" t="s">
        <v>136</v>
      </c>
    </row>
    <row r="969" spans="1:5" x14ac:dyDescent="0.25">
      <c r="A969" t="s">
        <v>1134</v>
      </c>
      <c r="B969" s="23">
        <v>59</v>
      </c>
      <c r="D969" t="s">
        <v>5522</v>
      </c>
      <c r="E969" s="23" t="s">
        <v>136</v>
      </c>
    </row>
    <row r="970" spans="1:5" x14ac:dyDescent="0.25">
      <c r="A970" t="s">
        <v>1135</v>
      </c>
      <c r="B970" s="23">
        <v>59</v>
      </c>
      <c r="D970" t="s">
        <v>5523</v>
      </c>
      <c r="E970" s="23" t="s">
        <v>136</v>
      </c>
    </row>
    <row r="971" spans="1:5" x14ac:dyDescent="0.25">
      <c r="A971" t="s">
        <v>1136</v>
      </c>
      <c r="B971" s="23">
        <v>60</v>
      </c>
      <c r="D971" t="s">
        <v>5524</v>
      </c>
      <c r="E971" s="23" t="s">
        <v>136</v>
      </c>
    </row>
    <row r="972" spans="1:5" x14ac:dyDescent="0.25">
      <c r="A972" t="s">
        <v>1137</v>
      </c>
      <c r="B972" s="23">
        <v>60</v>
      </c>
      <c r="D972" t="s">
        <v>5525</v>
      </c>
      <c r="E972" s="23" t="s">
        <v>136</v>
      </c>
    </row>
    <row r="973" spans="1:5" x14ac:dyDescent="0.25">
      <c r="A973" t="s">
        <v>1138</v>
      </c>
      <c r="B973" s="23">
        <v>61</v>
      </c>
      <c r="D973" t="s">
        <v>5526</v>
      </c>
      <c r="E973" s="23" t="s">
        <v>136</v>
      </c>
    </row>
    <row r="974" spans="1:5" x14ac:dyDescent="0.25">
      <c r="A974" t="s">
        <v>1139</v>
      </c>
      <c r="B974" s="23">
        <v>61</v>
      </c>
      <c r="D974" t="s">
        <v>5527</v>
      </c>
      <c r="E974" s="23" t="s">
        <v>137</v>
      </c>
    </row>
    <row r="975" spans="1:5" x14ac:dyDescent="0.25">
      <c r="A975" t="s">
        <v>1140</v>
      </c>
      <c r="B975" s="23">
        <v>62</v>
      </c>
      <c r="D975" t="s">
        <v>5528</v>
      </c>
      <c r="E975" s="23" t="s">
        <v>137</v>
      </c>
    </row>
    <row r="976" spans="1:5" x14ac:dyDescent="0.25">
      <c r="A976" t="s">
        <v>1141</v>
      </c>
      <c r="B976" s="23">
        <v>62</v>
      </c>
      <c r="D976" t="s">
        <v>5529</v>
      </c>
      <c r="E976" s="23" t="s">
        <v>137</v>
      </c>
    </row>
    <row r="977" spans="1:5" x14ac:dyDescent="0.25">
      <c r="A977" t="s">
        <v>1142</v>
      </c>
      <c r="B977" s="23">
        <v>63</v>
      </c>
      <c r="D977" t="s">
        <v>5530</v>
      </c>
      <c r="E977" s="23" t="s">
        <v>137</v>
      </c>
    </row>
    <row r="978" spans="1:5" x14ac:dyDescent="0.25">
      <c r="A978" t="s">
        <v>1143</v>
      </c>
      <c r="B978" s="23">
        <v>63</v>
      </c>
      <c r="D978" t="s">
        <v>5531</v>
      </c>
      <c r="E978" s="23" t="s">
        <v>137</v>
      </c>
    </row>
    <row r="979" spans="1:5" x14ac:dyDescent="0.25">
      <c r="A979" t="s">
        <v>1144</v>
      </c>
      <c r="B979" s="23">
        <v>64</v>
      </c>
      <c r="D979" t="s">
        <v>5532</v>
      </c>
      <c r="E979" s="23" t="s">
        <v>137</v>
      </c>
    </row>
    <row r="980" spans="1:5" x14ac:dyDescent="0.25">
      <c r="A980" t="s">
        <v>1145</v>
      </c>
      <c r="B980" s="23">
        <v>64</v>
      </c>
      <c r="D980" t="s">
        <v>5533</v>
      </c>
      <c r="E980" s="23" t="s">
        <v>137</v>
      </c>
    </row>
    <row r="981" spans="1:5" x14ac:dyDescent="0.25">
      <c r="A981" t="s">
        <v>1146</v>
      </c>
      <c r="B981" s="23">
        <v>65</v>
      </c>
      <c r="D981" t="s">
        <v>5534</v>
      </c>
      <c r="E981" s="23" t="s">
        <v>137</v>
      </c>
    </row>
    <row r="982" spans="1:5" x14ac:dyDescent="0.25">
      <c r="A982" t="s">
        <v>1147</v>
      </c>
      <c r="B982" s="23">
        <v>65</v>
      </c>
      <c r="D982" t="s">
        <v>5535</v>
      </c>
      <c r="E982" s="23" t="s">
        <v>137</v>
      </c>
    </row>
    <row r="983" spans="1:5" x14ac:dyDescent="0.25">
      <c r="A983" t="s">
        <v>1148</v>
      </c>
      <c r="B983" s="23">
        <v>65</v>
      </c>
      <c r="D983" t="s">
        <v>5536</v>
      </c>
      <c r="E983" s="23" t="s">
        <v>137</v>
      </c>
    </row>
    <row r="984" spans="1:5" x14ac:dyDescent="0.25">
      <c r="A984" t="s">
        <v>1149</v>
      </c>
      <c r="B984" s="23">
        <v>65</v>
      </c>
      <c r="D984" t="s">
        <v>5537</v>
      </c>
      <c r="E984" s="23" t="s">
        <v>137</v>
      </c>
    </row>
    <row r="985" spans="1:5" x14ac:dyDescent="0.25">
      <c r="A985" t="s">
        <v>1150</v>
      </c>
      <c r="B985" s="23">
        <v>65</v>
      </c>
      <c r="D985" t="s">
        <v>5538</v>
      </c>
      <c r="E985" s="23" t="s">
        <v>137</v>
      </c>
    </row>
    <row r="986" spans="1:5" x14ac:dyDescent="0.25">
      <c r="A986" t="s">
        <v>1151</v>
      </c>
      <c r="B986" s="23">
        <v>66</v>
      </c>
      <c r="D986" t="s">
        <v>5539</v>
      </c>
      <c r="E986" s="23" t="s">
        <v>137</v>
      </c>
    </row>
    <row r="987" spans="1:5" x14ac:dyDescent="0.25">
      <c r="A987" t="s">
        <v>1152</v>
      </c>
      <c r="B987" s="23">
        <v>66</v>
      </c>
      <c r="D987" t="s">
        <v>5540</v>
      </c>
      <c r="E987" s="23" t="s">
        <v>137</v>
      </c>
    </row>
    <row r="988" spans="1:5" x14ac:dyDescent="0.25">
      <c r="A988" t="s">
        <v>1153</v>
      </c>
      <c r="B988" s="23">
        <v>66</v>
      </c>
      <c r="D988" t="s">
        <v>5541</v>
      </c>
      <c r="E988" s="23" t="s">
        <v>137</v>
      </c>
    </row>
    <row r="989" spans="1:5" x14ac:dyDescent="0.25">
      <c r="A989" t="s">
        <v>1154</v>
      </c>
      <c r="B989" s="23">
        <v>66</v>
      </c>
      <c r="D989" t="s">
        <v>5542</v>
      </c>
      <c r="E989" s="23" t="s">
        <v>137</v>
      </c>
    </row>
    <row r="990" spans="1:5" x14ac:dyDescent="0.25">
      <c r="A990" t="s">
        <v>1155</v>
      </c>
      <c r="B990" s="23">
        <v>66</v>
      </c>
      <c r="D990" t="s">
        <v>5543</v>
      </c>
      <c r="E990" s="23" t="s">
        <v>137</v>
      </c>
    </row>
    <row r="991" spans="1:5" x14ac:dyDescent="0.25">
      <c r="A991" t="s">
        <v>1156</v>
      </c>
      <c r="B991" s="23">
        <v>67</v>
      </c>
      <c r="D991" t="s">
        <v>5544</v>
      </c>
      <c r="E991" s="23" t="s">
        <v>137</v>
      </c>
    </row>
    <row r="992" spans="1:5" x14ac:dyDescent="0.25">
      <c r="A992" t="s">
        <v>1157</v>
      </c>
      <c r="B992" s="23">
        <v>67</v>
      </c>
      <c r="D992" t="s">
        <v>5545</v>
      </c>
      <c r="E992" s="23" t="s">
        <v>137</v>
      </c>
    </row>
    <row r="993" spans="1:5" x14ac:dyDescent="0.25">
      <c r="A993" t="s">
        <v>1158</v>
      </c>
      <c r="B993" s="23">
        <v>67</v>
      </c>
      <c r="D993" t="s">
        <v>5546</v>
      </c>
      <c r="E993" s="23" t="s">
        <v>137</v>
      </c>
    </row>
    <row r="994" spans="1:5" x14ac:dyDescent="0.25">
      <c r="A994" t="s">
        <v>1159</v>
      </c>
      <c r="B994" s="23">
        <v>67</v>
      </c>
      <c r="D994" t="s">
        <v>5547</v>
      </c>
      <c r="E994" s="23" t="s">
        <v>138</v>
      </c>
    </row>
    <row r="995" spans="1:5" x14ac:dyDescent="0.25">
      <c r="A995" t="s">
        <v>1160</v>
      </c>
      <c r="B995" s="23">
        <v>67</v>
      </c>
      <c r="D995" t="s">
        <v>5548</v>
      </c>
      <c r="E995" t="s">
        <v>138</v>
      </c>
    </row>
    <row r="996" spans="1:5" x14ac:dyDescent="0.25">
      <c r="A996" t="s">
        <v>1161</v>
      </c>
      <c r="B996" s="23">
        <v>68</v>
      </c>
      <c r="D996" t="s">
        <v>5549</v>
      </c>
      <c r="E996" t="s">
        <v>138</v>
      </c>
    </row>
    <row r="997" spans="1:5" x14ac:dyDescent="0.25">
      <c r="A997" t="s">
        <v>1162</v>
      </c>
      <c r="B997" s="23">
        <v>68</v>
      </c>
      <c r="D997" t="s">
        <v>5550</v>
      </c>
      <c r="E997" s="23" t="s">
        <v>138</v>
      </c>
    </row>
    <row r="998" spans="1:5" x14ac:dyDescent="0.25">
      <c r="A998" t="s">
        <v>1163</v>
      </c>
      <c r="B998" s="23">
        <v>68</v>
      </c>
      <c r="D998" t="s">
        <v>5551</v>
      </c>
      <c r="E998" t="s">
        <v>138</v>
      </c>
    </row>
    <row r="999" spans="1:5" x14ac:dyDescent="0.25">
      <c r="A999" t="s">
        <v>1164</v>
      </c>
      <c r="B999" s="23">
        <v>68</v>
      </c>
      <c r="D999" t="s">
        <v>5552</v>
      </c>
      <c r="E999" t="s">
        <v>138</v>
      </c>
    </row>
    <row r="1000" spans="1:5" x14ac:dyDescent="0.25">
      <c r="A1000" t="s">
        <v>1165</v>
      </c>
      <c r="B1000" s="23">
        <v>68</v>
      </c>
      <c r="D1000" t="s">
        <v>5553</v>
      </c>
      <c r="E1000" s="23" t="s">
        <v>138</v>
      </c>
    </row>
    <row r="1001" spans="1:5" x14ac:dyDescent="0.25">
      <c r="A1001" t="s">
        <v>1166</v>
      </c>
      <c r="B1001" s="23">
        <v>69</v>
      </c>
      <c r="D1001" t="s">
        <v>5554</v>
      </c>
      <c r="E1001" t="s">
        <v>138</v>
      </c>
    </row>
    <row r="1002" spans="1:5" x14ac:dyDescent="0.25">
      <c r="A1002" t="s">
        <v>1167</v>
      </c>
      <c r="B1002" s="23">
        <v>69</v>
      </c>
      <c r="D1002" t="s">
        <v>5555</v>
      </c>
      <c r="E1002" t="s">
        <v>138</v>
      </c>
    </row>
    <row r="1003" spans="1:5" x14ac:dyDescent="0.25">
      <c r="A1003" t="s">
        <v>1168</v>
      </c>
      <c r="B1003" s="23">
        <v>69</v>
      </c>
      <c r="D1003" t="s">
        <v>5556</v>
      </c>
      <c r="E1003" s="23" t="s">
        <v>138</v>
      </c>
    </row>
    <row r="1004" spans="1:5" x14ac:dyDescent="0.25">
      <c r="A1004" t="s">
        <v>1169</v>
      </c>
      <c r="B1004" s="23">
        <v>69</v>
      </c>
      <c r="D1004" t="s">
        <v>5557</v>
      </c>
      <c r="E1004" t="s">
        <v>138</v>
      </c>
    </row>
    <row r="1005" spans="1:5" x14ac:dyDescent="0.25">
      <c r="A1005" t="s">
        <v>1170</v>
      </c>
      <c r="B1005" s="23">
        <v>69</v>
      </c>
      <c r="D1005" t="s">
        <v>5558</v>
      </c>
      <c r="E1005" t="s">
        <v>138</v>
      </c>
    </row>
    <row r="1006" spans="1:5" x14ac:dyDescent="0.25">
      <c r="A1006" t="s">
        <v>1171</v>
      </c>
      <c r="B1006" s="23">
        <v>69</v>
      </c>
      <c r="D1006" t="s">
        <v>5559</v>
      </c>
      <c r="E1006" s="23" t="s">
        <v>138</v>
      </c>
    </row>
    <row r="1007" spans="1:5" x14ac:dyDescent="0.25">
      <c r="A1007" t="s">
        <v>1172</v>
      </c>
      <c r="B1007" s="23">
        <v>69</v>
      </c>
      <c r="D1007" t="s">
        <v>5560</v>
      </c>
      <c r="E1007" t="s">
        <v>138</v>
      </c>
    </row>
    <row r="1008" spans="1:5" x14ac:dyDescent="0.25">
      <c r="A1008" t="s">
        <v>1173</v>
      </c>
      <c r="B1008" s="23">
        <v>69</v>
      </c>
      <c r="D1008" t="s">
        <v>5561</v>
      </c>
      <c r="E1008" t="s">
        <v>138</v>
      </c>
    </row>
    <row r="1009" spans="1:5" x14ac:dyDescent="0.25">
      <c r="A1009" t="s">
        <v>1174</v>
      </c>
      <c r="B1009" s="23">
        <v>69</v>
      </c>
      <c r="D1009" t="s">
        <v>5562</v>
      </c>
      <c r="E1009" s="23" t="s">
        <v>138</v>
      </c>
    </row>
    <row r="1010" spans="1:5" x14ac:dyDescent="0.25">
      <c r="A1010" t="s">
        <v>1175</v>
      </c>
      <c r="B1010" s="23">
        <v>69</v>
      </c>
      <c r="D1010" t="s">
        <v>5563</v>
      </c>
      <c r="E1010" t="s">
        <v>138</v>
      </c>
    </row>
    <row r="1011" spans="1:5" x14ac:dyDescent="0.25">
      <c r="A1011" t="s">
        <v>1176</v>
      </c>
      <c r="B1011" s="23">
        <v>70</v>
      </c>
      <c r="D1011" t="s">
        <v>5564</v>
      </c>
      <c r="E1011" t="s">
        <v>138</v>
      </c>
    </row>
    <row r="1012" spans="1:5" x14ac:dyDescent="0.25">
      <c r="A1012" t="s">
        <v>1177</v>
      </c>
      <c r="B1012" s="23">
        <v>70</v>
      </c>
      <c r="D1012" t="s">
        <v>5565</v>
      </c>
      <c r="E1012" s="23" t="s">
        <v>138</v>
      </c>
    </row>
    <row r="1013" spans="1:5" x14ac:dyDescent="0.25">
      <c r="A1013" t="s">
        <v>1178</v>
      </c>
      <c r="B1013" s="23">
        <v>70</v>
      </c>
      <c r="D1013" t="s">
        <v>5566</v>
      </c>
      <c r="E1013" t="s">
        <v>138</v>
      </c>
    </row>
    <row r="1014" spans="1:5" x14ac:dyDescent="0.25">
      <c r="A1014" t="s">
        <v>1179</v>
      </c>
      <c r="B1014" s="23">
        <v>70</v>
      </c>
      <c r="D1014" t="s">
        <v>5567</v>
      </c>
      <c r="E1014" t="s">
        <v>139</v>
      </c>
    </row>
    <row r="1015" spans="1:5" x14ac:dyDescent="0.25">
      <c r="A1015" t="s">
        <v>1180</v>
      </c>
      <c r="B1015" s="23">
        <v>70</v>
      </c>
      <c r="D1015" t="s">
        <v>5568</v>
      </c>
      <c r="E1015" t="s">
        <v>139</v>
      </c>
    </row>
    <row r="1016" spans="1:5" x14ac:dyDescent="0.25">
      <c r="A1016" t="s">
        <v>1181</v>
      </c>
      <c r="B1016" s="23">
        <v>70</v>
      </c>
      <c r="D1016" t="s">
        <v>5569</v>
      </c>
      <c r="E1016" t="s">
        <v>139</v>
      </c>
    </row>
    <row r="1017" spans="1:5" x14ac:dyDescent="0.25">
      <c r="A1017" t="s">
        <v>1182</v>
      </c>
      <c r="B1017" s="23">
        <v>70</v>
      </c>
      <c r="D1017" t="s">
        <v>5570</v>
      </c>
      <c r="E1017" t="s">
        <v>139</v>
      </c>
    </row>
    <row r="1018" spans="1:5" x14ac:dyDescent="0.25">
      <c r="A1018" t="s">
        <v>1183</v>
      </c>
      <c r="B1018" s="23">
        <v>70</v>
      </c>
      <c r="D1018" t="s">
        <v>5571</v>
      </c>
      <c r="E1018" t="s">
        <v>139</v>
      </c>
    </row>
    <row r="1019" spans="1:5" x14ac:dyDescent="0.25">
      <c r="A1019" t="s">
        <v>1184</v>
      </c>
      <c r="B1019" s="23">
        <v>70</v>
      </c>
      <c r="D1019" t="s">
        <v>5572</v>
      </c>
      <c r="E1019" t="s">
        <v>139</v>
      </c>
    </row>
    <row r="1020" spans="1:5" x14ac:dyDescent="0.25">
      <c r="A1020" t="s">
        <v>1185</v>
      </c>
      <c r="B1020" s="23">
        <v>70</v>
      </c>
      <c r="D1020" t="s">
        <v>5573</v>
      </c>
      <c r="E1020" t="s">
        <v>139</v>
      </c>
    </row>
    <row r="1021" spans="1:5" x14ac:dyDescent="0.25">
      <c r="A1021" t="s">
        <v>1186</v>
      </c>
      <c r="B1021" s="23">
        <v>70</v>
      </c>
      <c r="D1021" t="s">
        <v>5574</v>
      </c>
      <c r="E1021" t="s">
        <v>139</v>
      </c>
    </row>
    <row r="1022" spans="1:5" x14ac:dyDescent="0.25">
      <c r="A1022" t="s">
        <v>1187</v>
      </c>
      <c r="B1022" s="23">
        <v>70</v>
      </c>
      <c r="D1022" t="s">
        <v>5575</v>
      </c>
      <c r="E1022" t="s">
        <v>139</v>
      </c>
    </row>
    <row r="1023" spans="1:5" x14ac:dyDescent="0.25">
      <c r="A1023" t="s">
        <v>1188</v>
      </c>
      <c r="B1023" s="23">
        <v>70</v>
      </c>
      <c r="D1023" t="s">
        <v>5576</v>
      </c>
      <c r="E1023" t="s">
        <v>139</v>
      </c>
    </row>
    <row r="1024" spans="1:5" x14ac:dyDescent="0.25">
      <c r="A1024" t="s">
        <v>1189</v>
      </c>
      <c r="B1024" s="23">
        <v>70</v>
      </c>
      <c r="D1024" t="s">
        <v>5577</v>
      </c>
      <c r="E1024" t="s">
        <v>139</v>
      </c>
    </row>
    <row r="1025" spans="1:5" x14ac:dyDescent="0.25">
      <c r="A1025" t="s">
        <v>1190</v>
      </c>
      <c r="B1025" s="23">
        <v>70</v>
      </c>
      <c r="D1025" t="s">
        <v>5578</v>
      </c>
      <c r="E1025" t="s">
        <v>139</v>
      </c>
    </row>
    <row r="1026" spans="1:5" x14ac:dyDescent="0.25">
      <c r="A1026" t="s">
        <v>1191</v>
      </c>
      <c r="B1026" s="23">
        <v>70</v>
      </c>
      <c r="D1026" t="s">
        <v>5579</v>
      </c>
      <c r="E1026" t="s">
        <v>139</v>
      </c>
    </row>
    <row r="1027" spans="1:5" x14ac:dyDescent="0.25">
      <c r="A1027" t="s">
        <v>1192</v>
      </c>
      <c r="B1027" s="23">
        <v>70</v>
      </c>
      <c r="D1027" t="s">
        <v>5580</v>
      </c>
      <c r="E1027" t="s">
        <v>139</v>
      </c>
    </row>
    <row r="1028" spans="1:5" x14ac:dyDescent="0.25">
      <c r="A1028" t="s">
        <v>1193</v>
      </c>
      <c r="B1028" s="23">
        <v>70</v>
      </c>
      <c r="D1028" t="s">
        <v>5581</v>
      </c>
      <c r="E1028" t="s">
        <v>139</v>
      </c>
    </row>
    <row r="1029" spans="1:5" x14ac:dyDescent="0.25">
      <c r="A1029" t="s">
        <v>1194</v>
      </c>
      <c r="B1029" s="23">
        <v>70</v>
      </c>
      <c r="D1029" t="s">
        <v>5582</v>
      </c>
      <c r="E1029" t="s">
        <v>139</v>
      </c>
    </row>
    <row r="1030" spans="1:5" x14ac:dyDescent="0.25">
      <c r="A1030" t="s">
        <v>1195</v>
      </c>
      <c r="B1030" s="23">
        <v>70</v>
      </c>
      <c r="D1030" t="s">
        <v>5583</v>
      </c>
      <c r="E1030" t="s">
        <v>139</v>
      </c>
    </row>
    <row r="1031" spans="1:5" x14ac:dyDescent="0.25">
      <c r="A1031" t="s">
        <v>1196</v>
      </c>
      <c r="B1031" s="23">
        <v>70</v>
      </c>
      <c r="D1031" t="s">
        <v>5584</v>
      </c>
      <c r="E1031" t="s">
        <v>139</v>
      </c>
    </row>
    <row r="1032" spans="1:5" x14ac:dyDescent="0.25">
      <c r="A1032" t="s">
        <v>1197</v>
      </c>
      <c r="B1032" s="23">
        <v>70</v>
      </c>
      <c r="D1032" t="s">
        <v>5585</v>
      </c>
      <c r="E1032" t="s">
        <v>139</v>
      </c>
    </row>
    <row r="1033" spans="1:5" x14ac:dyDescent="0.25">
      <c r="A1033" t="s">
        <v>1198</v>
      </c>
      <c r="B1033" s="23">
        <v>70</v>
      </c>
      <c r="D1033" t="s">
        <v>5586</v>
      </c>
      <c r="E1033" t="s">
        <v>139</v>
      </c>
    </row>
    <row r="1034" spans="1:5" x14ac:dyDescent="0.25">
      <c r="A1034" t="s">
        <v>1199</v>
      </c>
      <c r="B1034" s="23">
        <v>70</v>
      </c>
      <c r="D1034" t="s">
        <v>5587</v>
      </c>
      <c r="E1034" t="s">
        <v>139</v>
      </c>
    </row>
    <row r="1035" spans="1:5" x14ac:dyDescent="0.25">
      <c r="A1035" t="s">
        <v>1200</v>
      </c>
      <c r="B1035" s="23">
        <v>70</v>
      </c>
      <c r="D1035" t="s">
        <v>5588</v>
      </c>
      <c r="E1035" t="s">
        <v>139</v>
      </c>
    </row>
    <row r="1036" spans="1:5" x14ac:dyDescent="0.25">
      <c r="A1036" t="s">
        <v>1201</v>
      </c>
      <c r="B1036" s="23">
        <v>70</v>
      </c>
      <c r="D1036" t="s">
        <v>5589</v>
      </c>
      <c r="E1036" t="s">
        <v>139</v>
      </c>
    </row>
    <row r="1037" spans="1:5" x14ac:dyDescent="0.25">
      <c r="A1037" t="s">
        <v>1202</v>
      </c>
      <c r="B1037" s="23">
        <v>70</v>
      </c>
      <c r="D1037" t="s">
        <v>5590</v>
      </c>
      <c r="E1037" t="s">
        <v>139</v>
      </c>
    </row>
    <row r="1038" spans="1:5" x14ac:dyDescent="0.25">
      <c r="A1038" t="s">
        <v>1203</v>
      </c>
      <c r="B1038" s="23">
        <v>70</v>
      </c>
      <c r="D1038" t="s">
        <v>5591</v>
      </c>
      <c r="E1038" t="s">
        <v>139</v>
      </c>
    </row>
    <row r="1039" spans="1:5" x14ac:dyDescent="0.25">
      <c r="A1039" t="s">
        <v>1204</v>
      </c>
      <c r="B1039" s="23">
        <v>70</v>
      </c>
      <c r="D1039" t="s">
        <v>5592</v>
      </c>
      <c r="E1039" s="23" t="s">
        <v>18</v>
      </c>
    </row>
    <row r="1040" spans="1:5" x14ac:dyDescent="0.25">
      <c r="A1040" t="s">
        <v>1205</v>
      </c>
      <c r="B1040" s="23">
        <v>70</v>
      </c>
      <c r="D1040" t="s">
        <v>5593</v>
      </c>
      <c r="E1040" s="23" t="s">
        <v>18</v>
      </c>
    </row>
    <row r="1041" spans="1:5" x14ac:dyDescent="0.25">
      <c r="A1041" t="s">
        <v>1206</v>
      </c>
      <c r="B1041" s="23">
        <v>70</v>
      </c>
      <c r="D1041" t="s">
        <v>5594</v>
      </c>
      <c r="E1041" s="23" t="s">
        <v>18</v>
      </c>
    </row>
    <row r="1042" spans="1:5" x14ac:dyDescent="0.25">
      <c r="A1042" t="s">
        <v>1207</v>
      </c>
      <c r="B1042" s="23">
        <v>70</v>
      </c>
      <c r="D1042" t="s">
        <v>5595</v>
      </c>
      <c r="E1042" s="23" t="s">
        <v>18</v>
      </c>
    </row>
    <row r="1043" spans="1:5" x14ac:dyDescent="0.25">
      <c r="A1043" t="s">
        <v>1208</v>
      </c>
      <c r="B1043" s="23">
        <v>70</v>
      </c>
      <c r="D1043" t="s">
        <v>5596</v>
      </c>
      <c r="E1043" s="23" t="s">
        <v>18</v>
      </c>
    </row>
    <row r="1044" spans="1:5" x14ac:dyDescent="0.25">
      <c r="A1044" t="s">
        <v>1209</v>
      </c>
      <c r="B1044" s="23">
        <v>70</v>
      </c>
      <c r="D1044" t="s">
        <v>5597</v>
      </c>
      <c r="E1044" s="23" t="s">
        <v>18</v>
      </c>
    </row>
    <row r="1045" spans="1:5" x14ac:dyDescent="0.25">
      <c r="A1045" t="s">
        <v>1210</v>
      </c>
      <c r="B1045" s="23">
        <v>70</v>
      </c>
      <c r="D1045" t="s">
        <v>5598</v>
      </c>
      <c r="E1045" s="23" t="s">
        <v>18</v>
      </c>
    </row>
    <row r="1046" spans="1:5" x14ac:dyDescent="0.25">
      <c r="A1046" t="s">
        <v>1211</v>
      </c>
      <c r="B1046" s="23">
        <v>70</v>
      </c>
      <c r="D1046" t="s">
        <v>5599</v>
      </c>
      <c r="E1046" s="23" t="s">
        <v>18</v>
      </c>
    </row>
    <row r="1047" spans="1:5" x14ac:dyDescent="0.25">
      <c r="A1047" t="s">
        <v>1212</v>
      </c>
      <c r="B1047" s="23">
        <v>70</v>
      </c>
      <c r="D1047" t="s">
        <v>5600</v>
      </c>
      <c r="E1047" s="23" t="s">
        <v>18</v>
      </c>
    </row>
    <row r="1048" spans="1:5" x14ac:dyDescent="0.25">
      <c r="A1048" t="s">
        <v>1213</v>
      </c>
      <c r="B1048" s="23">
        <v>70</v>
      </c>
      <c r="D1048" t="s">
        <v>5601</v>
      </c>
      <c r="E1048" s="23" t="s">
        <v>18</v>
      </c>
    </row>
    <row r="1049" spans="1:5" x14ac:dyDescent="0.25">
      <c r="A1049" t="s">
        <v>1214</v>
      </c>
      <c r="B1049" s="23">
        <v>70</v>
      </c>
      <c r="D1049" t="s">
        <v>5602</v>
      </c>
      <c r="E1049" s="23" t="s">
        <v>18</v>
      </c>
    </row>
    <row r="1050" spans="1:5" x14ac:dyDescent="0.25">
      <c r="A1050" t="s">
        <v>1215</v>
      </c>
      <c r="B1050" s="23">
        <v>70</v>
      </c>
      <c r="D1050" t="s">
        <v>5603</v>
      </c>
      <c r="E1050" s="23" t="s">
        <v>18</v>
      </c>
    </row>
    <row r="1051" spans="1:5" x14ac:dyDescent="0.25">
      <c r="A1051" t="s">
        <v>1216</v>
      </c>
      <c r="B1051" s="23">
        <v>70</v>
      </c>
      <c r="D1051" t="s">
        <v>5604</v>
      </c>
      <c r="E1051" s="23" t="s">
        <v>18</v>
      </c>
    </row>
    <row r="1052" spans="1:5" x14ac:dyDescent="0.25">
      <c r="A1052" t="s">
        <v>1217</v>
      </c>
      <c r="B1052" s="23">
        <v>0</v>
      </c>
      <c r="D1052" t="s">
        <v>5605</v>
      </c>
      <c r="E1052" s="23" t="s">
        <v>18</v>
      </c>
    </row>
    <row r="1053" spans="1:5" x14ac:dyDescent="0.25">
      <c r="A1053" t="s">
        <v>1218</v>
      </c>
      <c r="B1053" s="23">
        <v>0</v>
      </c>
      <c r="D1053" t="s">
        <v>5606</v>
      </c>
      <c r="E1053" s="23" t="s">
        <v>18</v>
      </c>
    </row>
    <row r="1054" spans="1:5" x14ac:dyDescent="0.25">
      <c r="A1054" t="s">
        <v>1219</v>
      </c>
      <c r="B1054" s="23">
        <v>0</v>
      </c>
      <c r="D1054" t="s">
        <v>5607</v>
      </c>
      <c r="E1054" s="23" t="s">
        <v>18</v>
      </c>
    </row>
    <row r="1055" spans="1:5" x14ac:dyDescent="0.25">
      <c r="A1055" t="s">
        <v>1220</v>
      </c>
      <c r="B1055" s="23">
        <v>0</v>
      </c>
      <c r="D1055" t="s">
        <v>5608</v>
      </c>
      <c r="E1055" s="23" t="s">
        <v>18</v>
      </c>
    </row>
    <row r="1056" spans="1:5" x14ac:dyDescent="0.25">
      <c r="A1056" t="s">
        <v>1221</v>
      </c>
      <c r="B1056" s="23">
        <v>0</v>
      </c>
      <c r="D1056" t="s">
        <v>5609</v>
      </c>
      <c r="E1056" s="23" t="s">
        <v>18</v>
      </c>
    </row>
    <row r="1057" spans="1:5" x14ac:dyDescent="0.25">
      <c r="A1057" t="s">
        <v>1222</v>
      </c>
      <c r="B1057" s="23">
        <v>0</v>
      </c>
      <c r="D1057" t="s">
        <v>5610</v>
      </c>
      <c r="E1057" s="23" t="s">
        <v>18</v>
      </c>
    </row>
    <row r="1058" spans="1:5" x14ac:dyDescent="0.25">
      <c r="A1058" t="s">
        <v>1223</v>
      </c>
      <c r="B1058" s="23">
        <v>0</v>
      </c>
      <c r="D1058" t="s">
        <v>5611</v>
      </c>
      <c r="E1058" s="23" t="s">
        <v>18</v>
      </c>
    </row>
    <row r="1059" spans="1:5" x14ac:dyDescent="0.25">
      <c r="A1059" t="s">
        <v>1224</v>
      </c>
      <c r="B1059" s="23">
        <v>0</v>
      </c>
      <c r="D1059" t="s">
        <v>5612</v>
      </c>
      <c r="E1059" s="23" t="s">
        <v>18</v>
      </c>
    </row>
    <row r="1060" spans="1:5" x14ac:dyDescent="0.25">
      <c r="A1060" t="s">
        <v>1225</v>
      </c>
      <c r="B1060" s="23">
        <v>0</v>
      </c>
      <c r="D1060" t="s">
        <v>5613</v>
      </c>
      <c r="E1060" s="23" t="s">
        <v>18</v>
      </c>
    </row>
    <row r="1061" spans="1:5" x14ac:dyDescent="0.25">
      <c r="A1061" t="s">
        <v>1226</v>
      </c>
      <c r="B1061" s="23">
        <v>1</v>
      </c>
      <c r="D1061" t="s">
        <v>5614</v>
      </c>
      <c r="E1061" s="23" t="s">
        <v>18</v>
      </c>
    </row>
    <row r="1062" spans="1:5" x14ac:dyDescent="0.25">
      <c r="A1062" t="s">
        <v>1227</v>
      </c>
      <c r="B1062" s="23">
        <v>1</v>
      </c>
      <c r="D1062" t="s">
        <v>5615</v>
      </c>
      <c r="E1062" s="23" t="s">
        <v>18</v>
      </c>
    </row>
    <row r="1063" spans="1:5" x14ac:dyDescent="0.25">
      <c r="A1063" t="s">
        <v>1228</v>
      </c>
      <c r="B1063" s="23">
        <v>1</v>
      </c>
      <c r="D1063" t="s">
        <v>5616</v>
      </c>
      <c r="E1063" s="23" t="s">
        <v>18</v>
      </c>
    </row>
    <row r="1064" spans="1:5" x14ac:dyDescent="0.25">
      <c r="A1064" t="s">
        <v>1229</v>
      </c>
      <c r="B1064" s="23">
        <v>1</v>
      </c>
      <c r="D1064" t="s">
        <v>5617</v>
      </c>
      <c r="E1064" s="23" t="s">
        <v>17</v>
      </c>
    </row>
    <row r="1065" spans="1:5" x14ac:dyDescent="0.25">
      <c r="A1065" t="s">
        <v>1230</v>
      </c>
      <c r="B1065" s="23">
        <v>1</v>
      </c>
      <c r="D1065" t="s">
        <v>5618</v>
      </c>
      <c r="E1065" s="23" t="s">
        <v>17</v>
      </c>
    </row>
    <row r="1066" spans="1:5" x14ac:dyDescent="0.25">
      <c r="A1066" t="s">
        <v>1231</v>
      </c>
      <c r="B1066" s="23">
        <v>1</v>
      </c>
      <c r="D1066" t="s">
        <v>5619</v>
      </c>
      <c r="E1066" s="23" t="s">
        <v>17</v>
      </c>
    </row>
    <row r="1067" spans="1:5" x14ac:dyDescent="0.25">
      <c r="A1067" t="s">
        <v>1232</v>
      </c>
      <c r="B1067" s="23">
        <v>1</v>
      </c>
      <c r="D1067" t="s">
        <v>5620</v>
      </c>
      <c r="E1067" s="23" t="s">
        <v>17</v>
      </c>
    </row>
    <row r="1068" spans="1:5" x14ac:dyDescent="0.25">
      <c r="A1068" t="s">
        <v>1233</v>
      </c>
      <c r="B1068" s="23">
        <v>1</v>
      </c>
      <c r="D1068" t="s">
        <v>5621</v>
      </c>
      <c r="E1068" s="23" t="s">
        <v>17</v>
      </c>
    </row>
    <row r="1069" spans="1:5" x14ac:dyDescent="0.25">
      <c r="A1069" t="s">
        <v>1234</v>
      </c>
      <c r="B1069" s="23">
        <v>1</v>
      </c>
      <c r="D1069" t="s">
        <v>5622</v>
      </c>
      <c r="E1069" s="23" t="s">
        <v>17</v>
      </c>
    </row>
    <row r="1070" spans="1:5" x14ac:dyDescent="0.25">
      <c r="A1070" t="s">
        <v>1235</v>
      </c>
      <c r="B1070" s="23">
        <v>1</v>
      </c>
      <c r="D1070" t="s">
        <v>5623</v>
      </c>
      <c r="E1070" s="23" t="s">
        <v>17</v>
      </c>
    </row>
    <row r="1071" spans="1:5" x14ac:dyDescent="0.25">
      <c r="A1071" t="s">
        <v>1236</v>
      </c>
      <c r="B1071" s="23">
        <v>1</v>
      </c>
      <c r="D1071" t="s">
        <v>5624</v>
      </c>
      <c r="E1071" s="23" t="s">
        <v>17</v>
      </c>
    </row>
    <row r="1072" spans="1:5" x14ac:dyDescent="0.25">
      <c r="A1072" t="s">
        <v>1237</v>
      </c>
      <c r="B1072" s="23">
        <v>1</v>
      </c>
      <c r="D1072" t="s">
        <v>5625</v>
      </c>
      <c r="E1072" s="23" t="s">
        <v>17</v>
      </c>
    </row>
    <row r="1073" spans="1:5" x14ac:dyDescent="0.25">
      <c r="A1073" t="s">
        <v>1238</v>
      </c>
      <c r="B1073" s="23">
        <v>1</v>
      </c>
      <c r="D1073" t="s">
        <v>5626</v>
      </c>
      <c r="E1073" s="23" t="s">
        <v>17</v>
      </c>
    </row>
    <row r="1074" spans="1:5" x14ac:dyDescent="0.25">
      <c r="A1074" t="s">
        <v>1239</v>
      </c>
      <c r="B1074" s="23">
        <v>1</v>
      </c>
      <c r="D1074" t="s">
        <v>5627</v>
      </c>
      <c r="E1074" s="23" t="s">
        <v>17</v>
      </c>
    </row>
    <row r="1075" spans="1:5" x14ac:dyDescent="0.25">
      <c r="A1075" t="s">
        <v>1240</v>
      </c>
      <c r="B1075" s="23">
        <v>1</v>
      </c>
      <c r="D1075" t="s">
        <v>5628</v>
      </c>
      <c r="E1075" s="23" t="s">
        <v>17</v>
      </c>
    </row>
    <row r="1076" spans="1:5" x14ac:dyDescent="0.25">
      <c r="A1076" t="s">
        <v>1241</v>
      </c>
      <c r="B1076" s="23">
        <v>1</v>
      </c>
      <c r="D1076" t="s">
        <v>5629</v>
      </c>
      <c r="E1076" s="23" t="s">
        <v>17</v>
      </c>
    </row>
    <row r="1077" spans="1:5" x14ac:dyDescent="0.25">
      <c r="A1077" t="s">
        <v>1242</v>
      </c>
      <c r="B1077" s="23">
        <v>1</v>
      </c>
      <c r="D1077" t="s">
        <v>5630</v>
      </c>
      <c r="E1077" s="23" t="s">
        <v>17</v>
      </c>
    </row>
    <row r="1078" spans="1:5" x14ac:dyDescent="0.25">
      <c r="A1078" t="s">
        <v>1243</v>
      </c>
      <c r="B1078" s="23">
        <v>1</v>
      </c>
      <c r="D1078" t="s">
        <v>5631</v>
      </c>
      <c r="E1078" s="23" t="s">
        <v>17</v>
      </c>
    </row>
    <row r="1079" spans="1:5" x14ac:dyDescent="0.25">
      <c r="A1079" t="s">
        <v>1244</v>
      </c>
      <c r="B1079" s="23">
        <v>1</v>
      </c>
      <c r="D1079" t="s">
        <v>5632</v>
      </c>
      <c r="E1079" s="23" t="s">
        <v>17</v>
      </c>
    </row>
    <row r="1080" spans="1:5" x14ac:dyDescent="0.25">
      <c r="A1080" t="s">
        <v>1245</v>
      </c>
      <c r="B1080" s="23">
        <v>1</v>
      </c>
      <c r="D1080" t="s">
        <v>5633</v>
      </c>
      <c r="E1080" s="23" t="s">
        <v>17</v>
      </c>
    </row>
    <row r="1081" spans="1:5" x14ac:dyDescent="0.25">
      <c r="A1081" t="s">
        <v>1246</v>
      </c>
      <c r="B1081" s="23">
        <v>3</v>
      </c>
      <c r="D1081" t="s">
        <v>5634</v>
      </c>
      <c r="E1081" s="23" t="s">
        <v>17</v>
      </c>
    </row>
    <row r="1082" spans="1:5" x14ac:dyDescent="0.25">
      <c r="A1082" t="s">
        <v>1247</v>
      </c>
      <c r="B1082" s="23">
        <v>3</v>
      </c>
      <c r="D1082" t="s">
        <v>5635</v>
      </c>
      <c r="E1082" s="23" t="s">
        <v>17</v>
      </c>
    </row>
    <row r="1083" spans="1:5" x14ac:dyDescent="0.25">
      <c r="A1083" t="s">
        <v>1248</v>
      </c>
      <c r="B1083" s="23">
        <v>3</v>
      </c>
      <c r="D1083" t="s">
        <v>5636</v>
      </c>
      <c r="E1083" s="23" t="s">
        <v>17</v>
      </c>
    </row>
    <row r="1084" spans="1:5" x14ac:dyDescent="0.25">
      <c r="A1084" t="s">
        <v>1249</v>
      </c>
      <c r="B1084" s="23">
        <v>3</v>
      </c>
      <c r="D1084" t="s">
        <v>5637</v>
      </c>
      <c r="E1084" s="23" t="s">
        <v>17</v>
      </c>
    </row>
    <row r="1085" spans="1:5" x14ac:dyDescent="0.25">
      <c r="A1085" t="s">
        <v>1250</v>
      </c>
      <c r="B1085" s="23">
        <v>3</v>
      </c>
      <c r="D1085" t="s">
        <v>5638</v>
      </c>
      <c r="E1085" s="23" t="s">
        <v>17</v>
      </c>
    </row>
    <row r="1086" spans="1:5" x14ac:dyDescent="0.25">
      <c r="A1086" t="s">
        <v>1251</v>
      </c>
      <c r="B1086" s="23">
        <v>3</v>
      </c>
      <c r="D1086" t="s">
        <v>5639</v>
      </c>
      <c r="E1086" s="23" t="s">
        <v>17</v>
      </c>
    </row>
    <row r="1087" spans="1:5" x14ac:dyDescent="0.25">
      <c r="A1087" t="s">
        <v>1252</v>
      </c>
      <c r="B1087" s="23">
        <v>3</v>
      </c>
      <c r="D1087" t="s">
        <v>5640</v>
      </c>
      <c r="E1087" s="23" t="s">
        <v>17</v>
      </c>
    </row>
    <row r="1088" spans="1:5" x14ac:dyDescent="0.25">
      <c r="A1088" t="s">
        <v>1253</v>
      </c>
      <c r="B1088" s="23">
        <v>3</v>
      </c>
      <c r="D1088" t="s">
        <v>5641</v>
      </c>
      <c r="E1088" s="23" t="s">
        <v>17</v>
      </c>
    </row>
    <row r="1089" spans="1:5" x14ac:dyDescent="0.25">
      <c r="A1089" t="s">
        <v>1254</v>
      </c>
      <c r="B1089" s="23">
        <v>3</v>
      </c>
      <c r="D1089" t="s">
        <v>5642</v>
      </c>
      <c r="E1089" t="s">
        <v>16</v>
      </c>
    </row>
    <row r="1090" spans="1:5" x14ac:dyDescent="0.25">
      <c r="A1090" t="s">
        <v>1255</v>
      </c>
      <c r="B1090" s="23">
        <v>3</v>
      </c>
      <c r="D1090" t="s">
        <v>5643</v>
      </c>
      <c r="E1090" t="s">
        <v>16</v>
      </c>
    </row>
    <row r="1091" spans="1:5" x14ac:dyDescent="0.25">
      <c r="A1091" t="s">
        <v>1256</v>
      </c>
      <c r="B1091" s="23">
        <v>3</v>
      </c>
      <c r="D1091" t="s">
        <v>5644</v>
      </c>
      <c r="E1091" t="s">
        <v>16</v>
      </c>
    </row>
    <row r="1092" spans="1:5" x14ac:dyDescent="0.25">
      <c r="A1092" t="s">
        <v>1257</v>
      </c>
      <c r="B1092" s="23">
        <v>3</v>
      </c>
      <c r="D1092" t="s">
        <v>5645</v>
      </c>
      <c r="E1092" t="s">
        <v>16</v>
      </c>
    </row>
    <row r="1093" spans="1:5" x14ac:dyDescent="0.25">
      <c r="A1093" t="s">
        <v>1258</v>
      </c>
      <c r="B1093" s="23">
        <v>3</v>
      </c>
      <c r="D1093" t="s">
        <v>5646</v>
      </c>
      <c r="E1093" t="s">
        <v>16</v>
      </c>
    </row>
    <row r="1094" spans="1:5" x14ac:dyDescent="0.25">
      <c r="A1094" t="s">
        <v>1259</v>
      </c>
      <c r="B1094" s="23">
        <v>3</v>
      </c>
      <c r="D1094" t="s">
        <v>5647</v>
      </c>
      <c r="E1094" t="s">
        <v>16</v>
      </c>
    </row>
    <row r="1095" spans="1:5" x14ac:dyDescent="0.25">
      <c r="A1095" t="s">
        <v>1260</v>
      </c>
      <c r="B1095" s="23">
        <v>3</v>
      </c>
      <c r="D1095" t="s">
        <v>5648</v>
      </c>
      <c r="E1095" t="s">
        <v>16</v>
      </c>
    </row>
    <row r="1096" spans="1:5" x14ac:dyDescent="0.25">
      <c r="A1096" t="s">
        <v>1261</v>
      </c>
      <c r="B1096" s="23">
        <v>3</v>
      </c>
      <c r="D1096" t="s">
        <v>5649</v>
      </c>
      <c r="E1096" t="s">
        <v>16</v>
      </c>
    </row>
    <row r="1097" spans="1:5" x14ac:dyDescent="0.25">
      <c r="A1097" t="s">
        <v>1262</v>
      </c>
      <c r="B1097" s="23">
        <v>3</v>
      </c>
      <c r="D1097" t="s">
        <v>5650</v>
      </c>
      <c r="E1097" t="s">
        <v>16</v>
      </c>
    </row>
    <row r="1098" spans="1:5" x14ac:dyDescent="0.25">
      <c r="A1098" t="s">
        <v>1263</v>
      </c>
      <c r="B1098" s="23">
        <v>3</v>
      </c>
      <c r="D1098" t="s">
        <v>5651</v>
      </c>
      <c r="E1098" t="s">
        <v>16</v>
      </c>
    </row>
    <row r="1099" spans="1:5" x14ac:dyDescent="0.25">
      <c r="A1099" t="s">
        <v>1264</v>
      </c>
      <c r="B1099" s="23">
        <v>3</v>
      </c>
      <c r="D1099" t="s">
        <v>5652</v>
      </c>
      <c r="E1099" t="s">
        <v>16</v>
      </c>
    </row>
    <row r="1100" spans="1:5" x14ac:dyDescent="0.25">
      <c r="A1100" t="s">
        <v>1265</v>
      </c>
      <c r="B1100" s="23">
        <v>3</v>
      </c>
      <c r="D1100" t="s">
        <v>5653</v>
      </c>
      <c r="E1100" t="s">
        <v>16</v>
      </c>
    </row>
    <row r="1101" spans="1:5" x14ac:dyDescent="0.25">
      <c r="A1101" t="s">
        <v>1266</v>
      </c>
      <c r="B1101" s="23">
        <v>5</v>
      </c>
      <c r="D1101" t="s">
        <v>5654</v>
      </c>
      <c r="E1101" t="s">
        <v>16</v>
      </c>
    </row>
    <row r="1102" spans="1:5" x14ac:dyDescent="0.25">
      <c r="A1102" t="s">
        <v>1267</v>
      </c>
      <c r="B1102" s="23">
        <v>5</v>
      </c>
      <c r="D1102" t="s">
        <v>5655</v>
      </c>
      <c r="E1102" t="s">
        <v>16</v>
      </c>
    </row>
    <row r="1103" spans="1:5" x14ac:dyDescent="0.25">
      <c r="A1103" t="s">
        <v>1268</v>
      </c>
      <c r="B1103" s="23">
        <v>5</v>
      </c>
      <c r="D1103" t="s">
        <v>5656</v>
      </c>
      <c r="E1103" t="s">
        <v>16</v>
      </c>
    </row>
    <row r="1104" spans="1:5" x14ac:dyDescent="0.25">
      <c r="A1104" t="s">
        <v>1269</v>
      </c>
      <c r="B1104" s="23">
        <v>5</v>
      </c>
      <c r="D1104" t="s">
        <v>5657</v>
      </c>
      <c r="E1104" t="s">
        <v>16</v>
      </c>
    </row>
    <row r="1105" spans="1:5" x14ac:dyDescent="0.25">
      <c r="A1105" t="s">
        <v>1270</v>
      </c>
      <c r="B1105" s="23">
        <v>5</v>
      </c>
      <c r="D1105" t="s">
        <v>5658</v>
      </c>
      <c r="E1105" t="s">
        <v>16</v>
      </c>
    </row>
    <row r="1106" spans="1:5" x14ac:dyDescent="0.25">
      <c r="A1106" t="s">
        <v>1271</v>
      </c>
      <c r="B1106" s="23">
        <v>7</v>
      </c>
      <c r="D1106" t="s">
        <v>5659</v>
      </c>
      <c r="E1106" t="s">
        <v>16</v>
      </c>
    </row>
    <row r="1107" spans="1:5" x14ac:dyDescent="0.25">
      <c r="A1107" t="s">
        <v>1272</v>
      </c>
      <c r="B1107" s="23">
        <v>7</v>
      </c>
      <c r="D1107" t="s">
        <v>5660</v>
      </c>
      <c r="E1107" t="s">
        <v>16</v>
      </c>
    </row>
    <row r="1108" spans="1:5" x14ac:dyDescent="0.25">
      <c r="A1108" t="s">
        <v>1273</v>
      </c>
      <c r="B1108" s="23">
        <v>7</v>
      </c>
      <c r="D1108" t="s">
        <v>5661</v>
      </c>
      <c r="E1108" t="s">
        <v>16</v>
      </c>
    </row>
    <row r="1109" spans="1:5" x14ac:dyDescent="0.25">
      <c r="A1109" t="s">
        <v>1274</v>
      </c>
      <c r="B1109" s="23">
        <v>7</v>
      </c>
      <c r="D1109" t="s">
        <v>5662</v>
      </c>
      <c r="E1109" t="s">
        <v>16</v>
      </c>
    </row>
    <row r="1110" spans="1:5" x14ac:dyDescent="0.25">
      <c r="A1110" t="s">
        <v>1275</v>
      </c>
      <c r="B1110" s="23">
        <v>7</v>
      </c>
      <c r="D1110" t="s">
        <v>5663</v>
      </c>
      <c r="E1110" t="s">
        <v>16</v>
      </c>
    </row>
    <row r="1111" spans="1:5" x14ac:dyDescent="0.25">
      <c r="A1111" t="s">
        <v>1276</v>
      </c>
      <c r="B1111" s="23">
        <v>9</v>
      </c>
      <c r="D1111" t="s">
        <v>5664</v>
      </c>
      <c r="E1111" t="s">
        <v>16</v>
      </c>
    </row>
    <row r="1112" spans="1:5" x14ac:dyDescent="0.25">
      <c r="A1112" t="s">
        <v>1277</v>
      </c>
      <c r="B1112" s="23">
        <v>9</v>
      </c>
      <c r="D1112" t="s">
        <v>5665</v>
      </c>
      <c r="E1112" t="s">
        <v>16</v>
      </c>
    </row>
    <row r="1113" spans="1:5" x14ac:dyDescent="0.25">
      <c r="A1113" t="s">
        <v>1278</v>
      </c>
      <c r="B1113" s="23">
        <v>9</v>
      </c>
      <c r="D1113" t="s">
        <v>5666</v>
      </c>
      <c r="E1113" t="s">
        <v>16</v>
      </c>
    </row>
    <row r="1114" spans="1:5" x14ac:dyDescent="0.25">
      <c r="A1114" t="s">
        <v>1279</v>
      </c>
      <c r="B1114" s="23">
        <v>9</v>
      </c>
      <c r="D1114" t="s">
        <v>5667</v>
      </c>
      <c r="E1114" t="s">
        <v>16</v>
      </c>
    </row>
    <row r="1115" spans="1:5" x14ac:dyDescent="0.25">
      <c r="A1115" t="s">
        <v>1280</v>
      </c>
      <c r="B1115" s="23">
        <v>9</v>
      </c>
      <c r="D1115" t="s">
        <v>5668</v>
      </c>
      <c r="E1115" t="s">
        <v>16</v>
      </c>
    </row>
    <row r="1116" spans="1:5" x14ac:dyDescent="0.25">
      <c r="A1116" t="s">
        <v>1281</v>
      </c>
      <c r="B1116" s="23">
        <v>11</v>
      </c>
      <c r="D1116" t="s">
        <v>5669</v>
      </c>
      <c r="E1116" t="s">
        <v>16</v>
      </c>
    </row>
    <row r="1117" spans="1:5" x14ac:dyDescent="0.25">
      <c r="A1117" t="s">
        <v>1282</v>
      </c>
      <c r="B1117" s="23">
        <v>11</v>
      </c>
      <c r="D1117" t="s">
        <v>5670</v>
      </c>
      <c r="E1117" t="s">
        <v>16</v>
      </c>
    </row>
    <row r="1118" spans="1:5" x14ac:dyDescent="0.25">
      <c r="A1118" t="s">
        <v>1283</v>
      </c>
      <c r="B1118" s="23">
        <v>11</v>
      </c>
      <c r="D1118" t="s">
        <v>5671</v>
      </c>
      <c r="E1118" t="s">
        <v>16</v>
      </c>
    </row>
    <row r="1119" spans="1:5" x14ac:dyDescent="0.25">
      <c r="A1119" t="s">
        <v>1284</v>
      </c>
      <c r="B1119" s="23">
        <v>11</v>
      </c>
      <c r="D1119" t="s">
        <v>5672</v>
      </c>
      <c r="E1119" t="s">
        <v>16</v>
      </c>
    </row>
    <row r="1120" spans="1:5" x14ac:dyDescent="0.25">
      <c r="A1120" t="s">
        <v>1285</v>
      </c>
      <c r="B1120" s="23">
        <v>11</v>
      </c>
      <c r="D1120" t="s">
        <v>5673</v>
      </c>
      <c r="E1120" t="s">
        <v>16</v>
      </c>
    </row>
    <row r="1121" spans="1:5" x14ac:dyDescent="0.25">
      <c r="A1121" t="s">
        <v>1286</v>
      </c>
      <c r="B1121" s="23">
        <v>12</v>
      </c>
      <c r="D1121" t="s">
        <v>5674</v>
      </c>
      <c r="E1121" t="s">
        <v>16</v>
      </c>
    </row>
    <row r="1122" spans="1:5" x14ac:dyDescent="0.25">
      <c r="A1122" t="s">
        <v>1287</v>
      </c>
      <c r="B1122" s="23">
        <v>12</v>
      </c>
      <c r="D1122" t="s">
        <v>5675</v>
      </c>
      <c r="E1122" t="s">
        <v>16</v>
      </c>
    </row>
    <row r="1123" spans="1:5" x14ac:dyDescent="0.25">
      <c r="A1123" t="s">
        <v>1288</v>
      </c>
      <c r="B1123" s="23">
        <v>12</v>
      </c>
      <c r="D1123" t="s">
        <v>5676</v>
      </c>
      <c r="E1123" t="s">
        <v>16</v>
      </c>
    </row>
    <row r="1124" spans="1:5" x14ac:dyDescent="0.25">
      <c r="A1124" t="s">
        <v>1289</v>
      </c>
      <c r="B1124" s="23">
        <v>12</v>
      </c>
      <c r="D1124" t="s">
        <v>5677</v>
      </c>
      <c r="E1124" t="s">
        <v>16</v>
      </c>
    </row>
    <row r="1125" spans="1:5" x14ac:dyDescent="0.25">
      <c r="A1125" t="s">
        <v>1290</v>
      </c>
      <c r="B1125" s="23">
        <v>12</v>
      </c>
      <c r="D1125" t="s">
        <v>5678</v>
      </c>
      <c r="E1125" t="s">
        <v>16</v>
      </c>
    </row>
    <row r="1126" spans="1:5" x14ac:dyDescent="0.25">
      <c r="A1126" t="s">
        <v>1291</v>
      </c>
      <c r="B1126" s="23">
        <v>13</v>
      </c>
      <c r="D1126" t="s">
        <v>5679</v>
      </c>
      <c r="E1126" t="s">
        <v>16</v>
      </c>
    </row>
    <row r="1127" spans="1:5" x14ac:dyDescent="0.25">
      <c r="A1127" t="s">
        <v>1292</v>
      </c>
      <c r="B1127" s="23">
        <v>13</v>
      </c>
      <c r="D1127" t="s">
        <v>5680</v>
      </c>
      <c r="E1127" t="s">
        <v>16</v>
      </c>
    </row>
    <row r="1128" spans="1:5" x14ac:dyDescent="0.25">
      <c r="A1128" t="s">
        <v>1293</v>
      </c>
      <c r="B1128" s="23">
        <v>13</v>
      </c>
      <c r="D1128" t="s">
        <v>5681</v>
      </c>
      <c r="E1128" t="s">
        <v>16</v>
      </c>
    </row>
    <row r="1129" spans="1:5" x14ac:dyDescent="0.25">
      <c r="A1129" t="s">
        <v>1294</v>
      </c>
      <c r="B1129" s="23">
        <v>13</v>
      </c>
      <c r="D1129" t="s">
        <v>5682</v>
      </c>
      <c r="E1129" t="s">
        <v>16</v>
      </c>
    </row>
    <row r="1130" spans="1:5" x14ac:dyDescent="0.25">
      <c r="A1130" t="s">
        <v>1295</v>
      </c>
      <c r="B1130" s="23">
        <v>13</v>
      </c>
      <c r="D1130" t="s">
        <v>5683</v>
      </c>
      <c r="E1130" t="s">
        <v>16</v>
      </c>
    </row>
    <row r="1131" spans="1:5" x14ac:dyDescent="0.25">
      <c r="A1131" t="s">
        <v>1296</v>
      </c>
      <c r="B1131" s="23">
        <v>14</v>
      </c>
      <c r="D1131" t="s">
        <v>5684</v>
      </c>
      <c r="E1131" t="s">
        <v>16</v>
      </c>
    </row>
    <row r="1132" spans="1:5" x14ac:dyDescent="0.25">
      <c r="A1132" t="s">
        <v>1297</v>
      </c>
      <c r="B1132" s="23">
        <v>14</v>
      </c>
      <c r="D1132" t="s">
        <v>5685</v>
      </c>
      <c r="E1132" t="s">
        <v>16</v>
      </c>
    </row>
    <row r="1133" spans="1:5" x14ac:dyDescent="0.25">
      <c r="A1133" t="s">
        <v>1298</v>
      </c>
      <c r="B1133" s="23">
        <v>14</v>
      </c>
      <c r="D1133" t="s">
        <v>5686</v>
      </c>
      <c r="E1133" t="s">
        <v>16</v>
      </c>
    </row>
    <row r="1134" spans="1:5" x14ac:dyDescent="0.25">
      <c r="A1134" t="s">
        <v>1299</v>
      </c>
      <c r="B1134" s="23">
        <v>14</v>
      </c>
      <c r="D1134" t="s">
        <v>5687</v>
      </c>
      <c r="E1134" t="s">
        <v>16</v>
      </c>
    </row>
    <row r="1135" spans="1:5" x14ac:dyDescent="0.25">
      <c r="A1135" t="s">
        <v>1300</v>
      </c>
      <c r="B1135" s="23">
        <v>14</v>
      </c>
      <c r="D1135" t="s">
        <v>5688</v>
      </c>
      <c r="E1135" t="s">
        <v>16</v>
      </c>
    </row>
    <row r="1136" spans="1:5" x14ac:dyDescent="0.25">
      <c r="A1136" t="s">
        <v>1301</v>
      </c>
      <c r="B1136" s="23">
        <v>15</v>
      </c>
      <c r="D1136" t="s">
        <v>5689</v>
      </c>
      <c r="E1136" t="s">
        <v>16</v>
      </c>
    </row>
    <row r="1137" spans="1:5" x14ac:dyDescent="0.25">
      <c r="A1137" t="s">
        <v>1302</v>
      </c>
      <c r="B1137" s="23">
        <v>15</v>
      </c>
      <c r="D1137" t="s">
        <v>5690</v>
      </c>
      <c r="E1137" t="s">
        <v>16</v>
      </c>
    </row>
    <row r="1138" spans="1:5" x14ac:dyDescent="0.25">
      <c r="A1138" t="s">
        <v>1303</v>
      </c>
      <c r="B1138" s="23">
        <v>15</v>
      </c>
      <c r="D1138" t="s">
        <v>5691</v>
      </c>
      <c r="E1138" t="s">
        <v>16</v>
      </c>
    </row>
    <row r="1139" spans="1:5" x14ac:dyDescent="0.25">
      <c r="A1139" t="s">
        <v>1304</v>
      </c>
      <c r="B1139" s="23">
        <v>15</v>
      </c>
      <c r="D1139" t="s">
        <v>5692</v>
      </c>
      <c r="E1139" t="s">
        <v>16</v>
      </c>
    </row>
    <row r="1140" spans="1:5" x14ac:dyDescent="0.25">
      <c r="A1140" t="s">
        <v>1305</v>
      </c>
      <c r="B1140" s="23">
        <v>15</v>
      </c>
      <c r="D1140" t="s">
        <v>5693</v>
      </c>
      <c r="E1140" t="s">
        <v>16</v>
      </c>
    </row>
    <row r="1141" spans="1:5" x14ac:dyDescent="0.25">
      <c r="A1141" t="s">
        <v>1306</v>
      </c>
      <c r="B1141" s="23">
        <v>16</v>
      </c>
      <c r="D1141" t="s">
        <v>5694</v>
      </c>
      <c r="E1141" t="s">
        <v>16</v>
      </c>
    </row>
    <row r="1142" spans="1:5" x14ac:dyDescent="0.25">
      <c r="A1142" t="s">
        <v>1307</v>
      </c>
      <c r="B1142" s="23">
        <v>16</v>
      </c>
      <c r="D1142" t="s">
        <v>5695</v>
      </c>
      <c r="E1142" t="s">
        <v>16</v>
      </c>
    </row>
    <row r="1143" spans="1:5" x14ac:dyDescent="0.25">
      <c r="A1143" t="s">
        <v>1308</v>
      </c>
      <c r="B1143" s="23">
        <v>16</v>
      </c>
      <c r="D1143" t="s">
        <v>5696</v>
      </c>
      <c r="E1143" t="s">
        <v>16</v>
      </c>
    </row>
    <row r="1144" spans="1:5" x14ac:dyDescent="0.25">
      <c r="A1144" t="s">
        <v>1309</v>
      </c>
      <c r="B1144" s="23">
        <v>16</v>
      </c>
      <c r="D1144" t="s">
        <v>5697</v>
      </c>
      <c r="E1144" t="s">
        <v>16</v>
      </c>
    </row>
    <row r="1145" spans="1:5" x14ac:dyDescent="0.25">
      <c r="A1145" t="s">
        <v>1310</v>
      </c>
      <c r="B1145" s="23">
        <v>16</v>
      </c>
      <c r="D1145" t="s">
        <v>5698</v>
      </c>
      <c r="E1145" t="s">
        <v>16</v>
      </c>
    </row>
    <row r="1146" spans="1:5" x14ac:dyDescent="0.25">
      <c r="A1146" t="s">
        <v>1311</v>
      </c>
      <c r="B1146" s="23">
        <v>17</v>
      </c>
      <c r="D1146" t="s">
        <v>5699</v>
      </c>
      <c r="E1146" t="s">
        <v>16</v>
      </c>
    </row>
    <row r="1147" spans="1:5" x14ac:dyDescent="0.25">
      <c r="A1147" t="s">
        <v>1312</v>
      </c>
      <c r="B1147" s="23">
        <v>17</v>
      </c>
      <c r="D1147" t="s">
        <v>5700</v>
      </c>
      <c r="E1147" t="s">
        <v>16</v>
      </c>
    </row>
    <row r="1148" spans="1:5" x14ac:dyDescent="0.25">
      <c r="A1148" t="s">
        <v>1313</v>
      </c>
      <c r="B1148" s="23">
        <v>17</v>
      </c>
      <c r="D1148" t="s">
        <v>5701</v>
      </c>
      <c r="E1148" t="s">
        <v>16</v>
      </c>
    </row>
    <row r="1149" spans="1:5" x14ac:dyDescent="0.25">
      <c r="A1149" t="s">
        <v>1314</v>
      </c>
      <c r="B1149" s="23">
        <v>17</v>
      </c>
      <c r="D1149" t="s">
        <v>5702</v>
      </c>
      <c r="E1149" t="s">
        <v>16</v>
      </c>
    </row>
    <row r="1150" spans="1:5" x14ac:dyDescent="0.25">
      <c r="A1150" t="s">
        <v>1315</v>
      </c>
      <c r="B1150" s="23">
        <v>17</v>
      </c>
      <c r="D1150" t="s">
        <v>5703</v>
      </c>
      <c r="E1150" t="s">
        <v>16</v>
      </c>
    </row>
    <row r="1151" spans="1:5" x14ac:dyDescent="0.25">
      <c r="A1151" t="s">
        <v>1316</v>
      </c>
      <c r="B1151" s="23">
        <v>18</v>
      </c>
      <c r="D1151" t="s">
        <v>5704</v>
      </c>
      <c r="E1151" t="s">
        <v>16</v>
      </c>
    </row>
    <row r="1152" spans="1:5" x14ac:dyDescent="0.25">
      <c r="A1152" t="s">
        <v>1317</v>
      </c>
      <c r="B1152" s="23">
        <v>18</v>
      </c>
      <c r="D1152" t="s">
        <v>5705</v>
      </c>
      <c r="E1152" t="s">
        <v>16</v>
      </c>
    </row>
    <row r="1153" spans="1:5" x14ac:dyDescent="0.25">
      <c r="A1153" t="s">
        <v>1318</v>
      </c>
      <c r="B1153" s="23">
        <v>19</v>
      </c>
      <c r="D1153" t="s">
        <v>5706</v>
      </c>
      <c r="E1153" t="s">
        <v>16</v>
      </c>
    </row>
    <row r="1154" spans="1:5" x14ac:dyDescent="0.25">
      <c r="A1154" t="s">
        <v>1319</v>
      </c>
      <c r="B1154" s="23">
        <v>19</v>
      </c>
      <c r="D1154" t="s">
        <v>5707</v>
      </c>
      <c r="E1154" t="s">
        <v>16</v>
      </c>
    </row>
    <row r="1155" spans="1:5" x14ac:dyDescent="0.25">
      <c r="A1155" t="s">
        <v>1320</v>
      </c>
      <c r="B1155" s="23">
        <v>20</v>
      </c>
      <c r="D1155" t="s">
        <v>5708</v>
      </c>
      <c r="E1155" t="s">
        <v>16</v>
      </c>
    </row>
    <row r="1156" spans="1:5" x14ac:dyDescent="0.25">
      <c r="A1156" t="s">
        <v>1321</v>
      </c>
      <c r="B1156" s="23">
        <v>20</v>
      </c>
      <c r="D1156" t="s">
        <v>5709</v>
      </c>
      <c r="E1156" t="s">
        <v>16</v>
      </c>
    </row>
    <row r="1157" spans="1:5" x14ac:dyDescent="0.25">
      <c r="A1157" t="s">
        <v>1322</v>
      </c>
      <c r="B1157" s="23">
        <v>21</v>
      </c>
      <c r="D1157" t="s">
        <v>5710</v>
      </c>
      <c r="E1157" t="s">
        <v>16</v>
      </c>
    </row>
    <row r="1158" spans="1:5" x14ac:dyDescent="0.25">
      <c r="A1158" t="s">
        <v>1323</v>
      </c>
      <c r="B1158" s="23">
        <v>21</v>
      </c>
      <c r="D1158" t="s">
        <v>5711</v>
      </c>
      <c r="E1158" t="s">
        <v>16</v>
      </c>
    </row>
    <row r="1159" spans="1:5" x14ac:dyDescent="0.25">
      <c r="A1159" t="s">
        <v>1324</v>
      </c>
      <c r="B1159" s="23">
        <v>22</v>
      </c>
      <c r="D1159" t="s">
        <v>5712</v>
      </c>
      <c r="E1159" t="s">
        <v>16</v>
      </c>
    </row>
    <row r="1160" spans="1:5" x14ac:dyDescent="0.25">
      <c r="A1160" t="s">
        <v>1325</v>
      </c>
      <c r="B1160" s="23">
        <v>22</v>
      </c>
      <c r="D1160" t="s">
        <v>5713</v>
      </c>
      <c r="E1160" t="s">
        <v>16</v>
      </c>
    </row>
    <row r="1161" spans="1:5" x14ac:dyDescent="0.25">
      <c r="A1161" t="s">
        <v>1326</v>
      </c>
      <c r="B1161" s="23">
        <v>23</v>
      </c>
      <c r="D1161" t="s">
        <v>5714</v>
      </c>
      <c r="E1161" t="s">
        <v>16</v>
      </c>
    </row>
    <row r="1162" spans="1:5" x14ac:dyDescent="0.25">
      <c r="A1162" t="s">
        <v>1327</v>
      </c>
      <c r="B1162" s="23">
        <v>23</v>
      </c>
      <c r="D1162" t="s">
        <v>5715</v>
      </c>
      <c r="E1162" t="s">
        <v>16</v>
      </c>
    </row>
    <row r="1163" spans="1:5" x14ac:dyDescent="0.25">
      <c r="A1163" t="s">
        <v>1328</v>
      </c>
      <c r="B1163" s="23">
        <v>24</v>
      </c>
      <c r="D1163" t="s">
        <v>5716</v>
      </c>
      <c r="E1163" t="s">
        <v>16</v>
      </c>
    </row>
    <row r="1164" spans="1:5" x14ac:dyDescent="0.25">
      <c r="A1164" t="s">
        <v>1329</v>
      </c>
      <c r="B1164" s="23">
        <v>24</v>
      </c>
      <c r="D1164" t="s">
        <v>5717</v>
      </c>
      <c r="E1164" t="s">
        <v>16</v>
      </c>
    </row>
    <row r="1165" spans="1:5" x14ac:dyDescent="0.25">
      <c r="A1165" t="s">
        <v>1330</v>
      </c>
      <c r="B1165" s="23">
        <v>25</v>
      </c>
      <c r="D1165" t="s">
        <v>5718</v>
      </c>
      <c r="E1165" t="s">
        <v>16</v>
      </c>
    </row>
    <row r="1166" spans="1:5" x14ac:dyDescent="0.25">
      <c r="A1166" t="s">
        <v>1331</v>
      </c>
      <c r="B1166" s="23">
        <v>25</v>
      </c>
      <c r="D1166" t="s">
        <v>5719</v>
      </c>
      <c r="E1166" t="s">
        <v>16</v>
      </c>
    </row>
    <row r="1167" spans="1:5" x14ac:dyDescent="0.25">
      <c r="A1167" t="s">
        <v>1332</v>
      </c>
      <c r="B1167" s="23">
        <v>26</v>
      </c>
      <c r="D1167" t="s">
        <v>5720</v>
      </c>
      <c r="E1167" t="s">
        <v>16</v>
      </c>
    </row>
    <row r="1168" spans="1:5" x14ac:dyDescent="0.25">
      <c r="A1168" t="s">
        <v>1333</v>
      </c>
      <c r="B1168" s="23">
        <v>26</v>
      </c>
      <c r="D1168" t="s">
        <v>5721</v>
      </c>
      <c r="E1168" t="s">
        <v>16</v>
      </c>
    </row>
    <row r="1169" spans="1:5" x14ac:dyDescent="0.25">
      <c r="A1169" t="s">
        <v>1334</v>
      </c>
      <c r="B1169" s="23">
        <v>27</v>
      </c>
      <c r="D1169" t="s">
        <v>5722</v>
      </c>
      <c r="E1169" t="s">
        <v>16</v>
      </c>
    </row>
    <row r="1170" spans="1:5" x14ac:dyDescent="0.25">
      <c r="A1170" t="s">
        <v>1335</v>
      </c>
      <c r="B1170" s="23">
        <v>27</v>
      </c>
      <c r="D1170" t="s">
        <v>5723</v>
      </c>
      <c r="E1170" t="s">
        <v>16</v>
      </c>
    </row>
    <row r="1171" spans="1:5" x14ac:dyDescent="0.25">
      <c r="A1171" t="s">
        <v>1336</v>
      </c>
      <c r="B1171" s="23">
        <v>28</v>
      </c>
      <c r="D1171" t="s">
        <v>5724</v>
      </c>
      <c r="E1171" t="s">
        <v>16</v>
      </c>
    </row>
    <row r="1172" spans="1:5" x14ac:dyDescent="0.25">
      <c r="A1172" t="s">
        <v>1337</v>
      </c>
      <c r="B1172" s="23">
        <v>28</v>
      </c>
      <c r="D1172" t="s">
        <v>5725</v>
      </c>
      <c r="E1172" t="s">
        <v>16</v>
      </c>
    </row>
    <row r="1173" spans="1:5" x14ac:dyDescent="0.25">
      <c r="A1173" t="s">
        <v>1338</v>
      </c>
      <c r="B1173" s="23">
        <v>28</v>
      </c>
      <c r="D1173" t="s">
        <v>5726</v>
      </c>
      <c r="E1173" t="s">
        <v>16</v>
      </c>
    </row>
    <row r="1174" spans="1:5" x14ac:dyDescent="0.25">
      <c r="A1174" t="s">
        <v>1339</v>
      </c>
      <c r="B1174" s="23">
        <v>28</v>
      </c>
      <c r="D1174" t="s">
        <v>5727</v>
      </c>
      <c r="E1174" t="s">
        <v>16</v>
      </c>
    </row>
    <row r="1175" spans="1:5" x14ac:dyDescent="0.25">
      <c r="A1175" t="s">
        <v>1340</v>
      </c>
      <c r="B1175" s="23">
        <v>28</v>
      </c>
      <c r="D1175" t="s">
        <v>5728</v>
      </c>
      <c r="E1175" t="s">
        <v>16</v>
      </c>
    </row>
    <row r="1176" spans="1:5" x14ac:dyDescent="0.25">
      <c r="A1176" t="s">
        <v>1341</v>
      </c>
      <c r="B1176" s="23">
        <v>29</v>
      </c>
      <c r="D1176" t="s">
        <v>5729</v>
      </c>
      <c r="E1176" t="s">
        <v>16</v>
      </c>
    </row>
    <row r="1177" spans="1:5" x14ac:dyDescent="0.25">
      <c r="A1177" t="s">
        <v>1342</v>
      </c>
      <c r="B1177" s="23">
        <v>29</v>
      </c>
      <c r="D1177" t="s">
        <v>5730</v>
      </c>
      <c r="E1177" t="s">
        <v>16</v>
      </c>
    </row>
    <row r="1178" spans="1:5" x14ac:dyDescent="0.25">
      <c r="A1178" t="s">
        <v>1343</v>
      </c>
      <c r="B1178" s="23">
        <v>29</v>
      </c>
      <c r="D1178" t="s">
        <v>5731</v>
      </c>
      <c r="E1178" t="s">
        <v>16</v>
      </c>
    </row>
    <row r="1179" spans="1:5" x14ac:dyDescent="0.25">
      <c r="A1179" t="s">
        <v>1344</v>
      </c>
      <c r="B1179" s="23">
        <v>29</v>
      </c>
      <c r="D1179" t="s">
        <v>5732</v>
      </c>
      <c r="E1179" t="s">
        <v>16</v>
      </c>
    </row>
    <row r="1180" spans="1:5" x14ac:dyDescent="0.25">
      <c r="A1180" t="s">
        <v>1345</v>
      </c>
      <c r="B1180" s="23">
        <v>29</v>
      </c>
      <c r="D1180" t="s">
        <v>5733</v>
      </c>
      <c r="E1180" t="s">
        <v>16</v>
      </c>
    </row>
    <row r="1181" spans="1:5" x14ac:dyDescent="0.25">
      <c r="A1181" t="s">
        <v>1346</v>
      </c>
      <c r="B1181" s="23">
        <v>30</v>
      </c>
      <c r="D1181" t="s">
        <v>5734</v>
      </c>
      <c r="E1181" t="s">
        <v>16</v>
      </c>
    </row>
    <row r="1182" spans="1:5" x14ac:dyDescent="0.25">
      <c r="A1182" t="s">
        <v>1347</v>
      </c>
      <c r="B1182" s="23">
        <v>30</v>
      </c>
      <c r="D1182" t="s">
        <v>5735</v>
      </c>
      <c r="E1182" t="s">
        <v>16</v>
      </c>
    </row>
    <row r="1183" spans="1:5" x14ac:dyDescent="0.25">
      <c r="A1183" t="s">
        <v>1348</v>
      </c>
      <c r="B1183" s="23">
        <v>30</v>
      </c>
      <c r="D1183" t="s">
        <v>5736</v>
      </c>
      <c r="E1183" t="s">
        <v>16</v>
      </c>
    </row>
    <row r="1184" spans="1:5" x14ac:dyDescent="0.25">
      <c r="A1184" t="s">
        <v>1349</v>
      </c>
      <c r="B1184" s="23">
        <v>30</v>
      </c>
      <c r="D1184" t="s">
        <v>5737</v>
      </c>
      <c r="E1184" t="s">
        <v>16</v>
      </c>
    </row>
    <row r="1185" spans="1:5" x14ac:dyDescent="0.25">
      <c r="A1185" t="s">
        <v>1350</v>
      </c>
      <c r="B1185" s="23">
        <v>30</v>
      </c>
      <c r="D1185" t="s">
        <v>5738</v>
      </c>
      <c r="E1185" t="s">
        <v>16</v>
      </c>
    </row>
    <row r="1186" spans="1:5" x14ac:dyDescent="0.25">
      <c r="A1186" t="s">
        <v>1351</v>
      </c>
      <c r="B1186" s="23">
        <v>31</v>
      </c>
      <c r="D1186" t="s">
        <v>5739</v>
      </c>
      <c r="E1186" t="s">
        <v>16</v>
      </c>
    </row>
    <row r="1187" spans="1:5" x14ac:dyDescent="0.25">
      <c r="A1187" t="s">
        <v>1352</v>
      </c>
      <c r="B1187" s="23">
        <v>31</v>
      </c>
      <c r="D1187" t="s">
        <v>5740</v>
      </c>
      <c r="E1187" t="s">
        <v>16</v>
      </c>
    </row>
    <row r="1188" spans="1:5" x14ac:dyDescent="0.25">
      <c r="A1188" t="s">
        <v>1353</v>
      </c>
      <c r="B1188" s="23">
        <v>31</v>
      </c>
      <c r="D1188" t="s">
        <v>5741</v>
      </c>
      <c r="E1188" t="s">
        <v>16</v>
      </c>
    </row>
    <row r="1189" spans="1:5" x14ac:dyDescent="0.25">
      <c r="A1189" t="s">
        <v>1354</v>
      </c>
      <c r="B1189" s="23">
        <v>31</v>
      </c>
      <c r="D1189" t="s">
        <v>5742</v>
      </c>
      <c r="E1189" t="s">
        <v>16</v>
      </c>
    </row>
    <row r="1190" spans="1:5" x14ac:dyDescent="0.25">
      <c r="A1190" t="s">
        <v>1355</v>
      </c>
      <c r="B1190" s="23">
        <v>31</v>
      </c>
      <c r="D1190" t="s">
        <v>5743</v>
      </c>
      <c r="E1190" t="s">
        <v>16</v>
      </c>
    </row>
    <row r="1191" spans="1:5" x14ac:dyDescent="0.25">
      <c r="A1191" t="s">
        <v>1356</v>
      </c>
      <c r="B1191" s="23">
        <v>32</v>
      </c>
      <c r="D1191" t="s">
        <v>5744</v>
      </c>
      <c r="E1191" t="s">
        <v>16</v>
      </c>
    </row>
    <row r="1192" spans="1:5" x14ac:dyDescent="0.25">
      <c r="A1192" t="s">
        <v>1357</v>
      </c>
      <c r="B1192" s="23">
        <v>33</v>
      </c>
      <c r="D1192" t="s">
        <v>5745</v>
      </c>
      <c r="E1192" t="s">
        <v>16</v>
      </c>
    </row>
    <row r="1193" spans="1:5" x14ac:dyDescent="0.25">
      <c r="A1193" t="s">
        <v>1358</v>
      </c>
      <c r="B1193" s="23">
        <v>34</v>
      </c>
      <c r="D1193" t="s">
        <v>5746</v>
      </c>
      <c r="E1193" t="s">
        <v>16</v>
      </c>
    </row>
    <row r="1194" spans="1:5" x14ac:dyDescent="0.25">
      <c r="A1194" t="s">
        <v>1359</v>
      </c>
      <c r="B1194" s="23">
        <v>35</v>
      </c>
      <c r="D1194" t="s">
        <v>5747</v>
      </c>
      <c r="E1194" t="s">
        <v>16</v>
      </c>
    </row>
    <row r="1195" spans="1:5" x14ac:dyDescent="0.25">
      <c r="A1195" t="s">
        <v>1360</v>
      </c>
      <c r="B1195" s="23">
        <v>36</v>
      </c>
      <c r="D1195" t="s">
        <v>5748</v>
      </c>
      <c r="E1195" t="s">
        <v>16</v>
      </c>
    </row>
    <row r="1196" spans="1:5" x14ac:dyDescent="0.25">
      <c r="A1196" t="s">
        <v>1361</v>
      </c>
      <c r="B1196" s="23">
        <v>37</v>
      </c>
      <c r="D1196" t="s">
        <v>5749</v>
      </c>
      <c r="E1196" t="s">
        <v>16</v>
      </c>
    </row>
    <row r="1197" spans="1:5" x14ac:dyDescent="0.25">
      <c r="A1197" t="s">
        <v>1362</v>
      </c>
      <c r="B1197" s="23">
        <v>38</v>
      </c>
      <c r="D1197" t="s">
        <v>5750</v>
      </c>
      <c r="E1197" t="s">
        <v>16</v>
      </c>
    </row>
    <row r="1198" spans="1:5" x14ac:dyDescent="0.25">
      <c r="A1198" t="s">
        <v>1363</v>
      </c>
      <c r="B1198" s="23">
        <v>39</v>
      </c>
      <c r="D1198" t="s">
        <v>5751</v>
      </c>
      <c r="E1198" t="s">
        <v>16</v>
      </c>
    </row>
    <row r="1199" spans="1:5" x14ac:dyDescent="0.25">
      <c r="A1199" t="s">
        <v>1364</v>
      </c>
      <c r="B1199" s="23">
        <v>40</v>
      </c>
      <c r="D1199" t="s">
        <v>5752</v>
      </c>
      <c r="E1199" t="s">
        <v>16</v>
      </c>
    </row>
    <row r="1200" spans="1:5" x14ac:dyDescent="0.25">
      <c r="A1200" t="s">
        <v>1365</v>
      </c>
      <c r="B1200" s="23">
        <v>41</v>
      </c>
      <c r="D1200" t="s">
        <v>5753</v>
      </c>
      <c r="E1200" t="s">
        <v>16</v>
      </c>
    </row>
    <row r="1201" spans="1:5" x14ac:dyDescent="0.25">
      <c r="A1201" t="s">
        <v>1366</v>
      </c>
      <c r="B1201" s="23">
        <v>42</v>
      </c>
      <c r="D1201" t="s">
        <v>5754</v>
      </c>
      <c r="E1201" t="s">
        <v>16</v>
      </c>
    </row>
    <row r="1202" spans="1:5" x14ac:dyDescent="0.25">
      <c r="A1202" t="s">
        <v>1367</v>
      </c>
      <c r="B1202" s="23">
        <v>42</v>
      </c>
      <c r="D1202" t="s">
        <v>5755</v>
      </c>
      <c r="E1202" t="s">
        <v>16</v>
      </c>
    </row>
    <row r="1203" spans="1:5" x14ac:dyDescent="0.25">
      <c r="A1203" t="s">
        <v>1368</v>
      </c>
      <c r="B1203" s="23">
        <v>43</v>
      </c>
      <c r="D1203" t="s">
        <v>5756</v>
      </c>
      <c r="E1203" t="s">
        <v>16</v>
      </c>
    </row>
    <row r="1204" spans="1:5" x14ac:dyDescent="0.25">
      <c r="A1204" t="s">
        <v>1369</v>
      </c>
      <c r="B1204" s="23">
        <v>43</v>
      </c>
      <c r="D1204" t="s">
        <v>5757</v>
      </c>
      <c r="E1204" t="s">
        <v>16</v>
      </c>
    </row>
    <row r="1205" spans="1:5" x14ac:dyDescent="0.25">
      <c r="A1205" t="s">
        <v>1370</v>
      </c>
      <c r="B1205" s="23">
        <v>43</v>
      </c>
      <c r="D1205" t="s">
        <v>5758</v>
      </c>
      <c r="E1205" t="s">
        <v>130</v>
      </c>
    </row>
    <row r="1206" spans="1:5" x14ac:dyDescent="0.25">
      <c r="A1206" t="s">
        <v>1371</v>
      </c>
      <c r="B1206" s="23">
        <v>44</v>
      </c>
      <c r="D1206" t="s">
        <v>5759</v>
      </c>
      <c r="E1206" t="s">
        <v>130</v>
      </c>
    </row>
    <row r="1207" spans="1:5" x14ac:dyDescent="0.25">
      <c r="A1207" t="s">
        <v>1372</v>
      </c>
      <c r="B1207" s="23">
        <v>44</v>
      </c>
      <c r="D1207" t="s">
        <v>5760</v>
      </c>
      <c r="E1207" t="s">
        <v>130</v>
      </c>
    </row>
    <row r="1208" spans="1:5" x14ac:dyDescent="0.25">
      <c r="A1208" t="s">
        <v>1373</v>
      </c>
      <c r="B1208" s="23">
        <v>44</v>
      </c>
      <c r="D1208" t="s">
        <v>5761</v>
      </c>
      <c r="E1208" t="s">
        <v>130</v>
      </c>
    </row>
    <row r="1209" spans="1:5" x14ac:dyDescent="0.25">
      <c r="A1209" t="s">
        <v>1374</v>
      </c>
      <c r="B1209" s="23">
        <v>45</v>
      </c>
      <c r="D1209" t="s">
        <v>5762</v>
      </c>
      <c r="E1209" t="s">
        <v>130</v>
      </c>
    </row>
    <row r="1210" spans="1:5" x14ac:dyDescent="0.25">
      <c r="A1210" t="s">
        <v>1375</v>
      </c>
      <c r="B1210" s="23">
        <v>45</v>
      </c>
      <c r="D1210" t="s">
        <v>5763</v>
      </c>
      <c r="E1210" t="s">
        <v>130</v>
      </c>
    </row>
    <row r="1211" spans="1:5" x14ac:dyDescent="0.25">
      <c r="A1211" t="s">
        <v>1376</v>
      </c>
      <c r="B1211" s="23">
        <v>46</v>
      </c>
      <c r="D1211" t="s">
        <v>5764</v>
      </c>
      <c r="E1211" t="s">
        <v>130</v>
      </c>
    </row>
    <row r="1212" spans="1:5" x14ac:dyDescent="0.25">
      <c r="A1212" t="s">
        <v>1377</v>
      </c>
      <c r="B1212" s="23">
        <v>46</v>
      </c>
      <c r="D1212" t="s">
        <v>5765</v>
      </c>
      <c r="E1212" t="s">
        <v>130</v>
      </c>
    </row>
    <row r="1213" spans="1:5" x14ac:dyDescent="0.25">
      <c r="A1213" t="s">
        <v>1378</v>
      </c>
      <c r="B1213" s="23">
        <v>47</v>
      </c>
      <c r="D1213" t="s">
        <v>5766</v>
      </c>
      <c r="E1213" t="s">
        <v>130</v>
      </c>
    </row>
    <row r="1214" spans="1:5" x14ac:dyDescent="0.25">
      <c r="A1214" t="s">
        <v>1379</v>
      </c>
      <c r="B1214" s="23">
        <v>47</v>
      </c>
      <c r="D1214" t="s">
        <v>5767</v>
      </c>
      <c r="E1214" t="s">
        <v>130</v>
      </c>
    </row>
    <row r="1215" spans="1:5" x14ac:dyDescent="0.25">
      <c r="A1215" t="s">
        <v>1380</v>
      </c>
      <c r="B1215" s="23">
        <v>47</v>
      </c>
      <c r="D1215" t="s">
        <v>5768</v>
      </c>
      <c r="E1215" t="s">
        <v>130</v>
      </c>
    </row>
    <row r="1216" spans="1:5" x14ac:dyDescent="0.25">
      <c r="A1216" t="s">
        <v>1381</v>
      </c>
      <c r="B1216" s="23">
        <v>48</v>
      </c>
      <c r="D1216" t="s">
        <v>5769</v>
      </c>
      <c r="E1216" t="s">
        <v>130</v>
      </c>
    </row>
    <row r="1217" spans="1:5" x14ac:dyDescent="0.25">
      <c r="A1217" t="s">
        <v>1382</v>
      </c>
      <c r="B1217" s="23">
        <v>48</v>
      </c>
      <c r="D1217" t="s">
        <v>5770</v>
      </c>
      <c r="E1217" t="s">
        <v>130</v>
      </c>
    </row>
    <row r="1218" spans="1:5" x14ac:dyDescent="0.25">
      <c r="A1218" t="s">
        <v>1383</v>
      </c>
      <c r="B1218" s="23">
        <v>48</v>
      </c>
      <c r="D1218" t="s">
        <v>5771</v>
      </c>
      <c r="E1218" t="s">
        <v>130</v>
      </c>
    </row>
    <row r="1219" spans="1:5" x14ac:dyDescent="0.25">
      <c r="A1219" t="s">
        <v>1384</v>
      </c>
      <c r="B1219" s="23">
        <v>49</v>
      </c>
      <c r="D1219" t="s">
        <v>5772</v>
      </c>
      <c r="E1219" t="s">
        <v>130</v>
      </c>
    </row>
    <row r="1220" spans="1:5" x14ac:dyDescent="0.25">
      <c r="A1220" t="s">
        <v>1385</v>
      </c>
      <c r="B1220" s="23">
        <v>49</v>
      </c>
      <c r="D1220" t="s">
        <v>5773</v>
      </c>
      <c r="E1220" t="s">
        <v>130</v>
      </c>
    </row>
    <row r="1221" spans="1:5" x14ac:dyDescent="0.25">
      <c r="A1221" t="s">
        <v>1386</v>
      </c>
      <c r="B1221" s="23">
        <v>50</v>
      </c>
      <c r="D1221" t="s">
        <v>5774</v>
      </c>
      <c r="E1221" t="s">
        <v>130</v>
      </c>
    </row>
    <row r="1222" spans="1:5" x14ac:dyDescent="0.25">
      <c r="A1222" t="s">
        <v>1387</v>
      </c>
      <c r="B1222" s="23">
        <v>50</v>
      </c>
      <c r="D1222" t="s">
        <v>5775</v>
      </c>
      <c r="E1222" t="s">
        <v>130</v>
      </c>
    </row>
    <row r="1223" spans="1:5" x14ac:dyDescent="0.25">
      <c r="A1223" t="s">
        <v>1388</v>
      </c>
      <c r="B1223" s="23">
        <v>51</v>
      </c>
      <c r="D1223" t="s">
        <v>5776</v>
      </c>
      <c r="E1223" t="s">
        <v>130</v>
      </c>
    </row>
    <row r="1224" spans="1:5" x14ac:dyDescent="0.25">
      <c r="A1224" t="s">
        <v>1389</v>
      </c>
      <c r="B1224" s="23">
        <v>51</v>
      </c>
      <c r="D1224" t="s">
        <v>5777</v>
      </c>
      <c r="E1224" t="s">
        <v>130</v>
      </c>
    </row>
    <row r="1225" spans="1:5" x14ac:dyDescent="0.25">
      <c r="A1225" t="s">
        <v>1390</v>
      </c>
      <c r="B1225" s="23">
        <v>51</v>
      </c>
      <c r="D1225" t="s">
        <v>5778</v>
      </c>
      <c r="E1225" t="s">
        <v>130</v>
      </c>
    </row>
    <row r="1226" spans="1:5" x14ac:dyDescent="0.25">
      <c r="A1226" t="s">
        <v>1391</v>
      </c>
      <c r="B1226" s="23">
        <v>52</v>
      </c>
      <c r="D1226" t="s">
        <v>5779</v>
      </c>
      <c r="E1226" t="s">
        <v>130</v>
      </c>
    </row>
    <row r="1227" spans="1:5" x14ac:dyDescent="0.25">
      <c r="A1227" t="s">
        <v>1392</v>
      </c>
      <c r="B1227" s="23">
        <v>52</v>
      </c>
      <c r="D1227" t="s">
        <v>5780</v>
      </c>
      <c r="E1227" t="s">
        <v>130</v>
      </c>
    </row>
    <row r="1228" spans="1:5" x14ac:dyDescent="0.25">
      <c r="A1228" t="s">
        <v>1393</v>
      </c>
      <c r="B1228" s="23">
        <v>52</v>
      </c>
      <c r="D1228" t="s">
        <v>5781</v>
      </c>
      <c r="E1228" t="s">
        <v>130</v>
      </c>
    </row>
    <row r="1229" spans="1:5" x14ac:dyDescent="0.25">
      <c r="A1229" t="s">
        <v>1394</v>
      </c>
      <c r="B1229" s="23">
        <v>53</v>
      </c>
      <c r="D1229" t="s">
        <v>5782</v>
      </c>
      <c r="E1229" t="s">
        <v>130</v>
      </c>
    </row>
    <row r="1230" spans="1:5" x14ac:dyDescent="0.25">
      <c r="A1230" t="s">
        <v>1395</v>
      </c>
      <c r="B1230" s="23">
        <v>53</v>
      </c>
      <c r="D1230" t="s">
        <v>5783</v>
      </c>
      <c r="E1230" t="s">
        <v>130</v>
      </c>
    </row>
    <row r="1231" spans="1:5" x14ac:dyDescent="0.25">
      <c r="A1231" t="s">
        <v>1396</v>
      </c>
      <c r="B1231" s="23">
        <v>54</v>
      </c>
      <c r="D1231" t="s">
        <v>5784</v>
      </c>
      <c r="E1231" t="s">
        <v>130</v>
      </c>
    </row>
    <row r="1232" spans="1:5" x14ac:dyDescent="0.25">
      <c r="A1232" t="s">
        <v>1397</v>
      </c>
      <c r="B1232" s="23">
        <v>54</v>
      </c>
      <c r="D1232" t="s">
        <v>5785</v>
      </c>
      <c r="E1232" t="s">
        <v>130</v>
      </c>
    </row>
    <row r="1233" spans="1:5" x14ac:dyDescent="0.25">
      <c r="A1233" t="s">
        <v>1398</v>
      </c>
      <c r="B1233" s="23">
        <v>55</v>
      </c>
      <c r="D1233" t="s">
        <v>5786</v>
      </c>
      <c r="E1233" t="s">
        <v>130</v>
      </c>
    </row>
    <row r="1234" spans="1:5" x14ac:dyDescent="0.25">
      <c r="A1234" t="s">
        <v>1399</v>
      </c>
      <c r="B1234" s="23">
        <v>55</v>
      </c>
      <c r="D1234" t="s">
        <v>5787</v>
      </c>
      <c r="E1234" t="s">
        <v>130</v>
      </c>
    </row>
    <row r="1235" spans="1:5" x14ac:dyDescent="0.25">
      <c r="A1235" t="s">
        <v>1400</v>
      </c>
      <c r="B1235" s="23">
        <v>55</v>
      </c>
      <c r="D1235" t="s">
        <v>5788</v>
      </c>
      <c r="E1235" t="s">
        <v>131</v>
      </c>
    </row>
    <row r="1236" spans="1:5" x14ac:dyDescent="0.25">
      <c r="A1236" t="s">
        <v>1401</v>
      </c>
      <c r="B1236" s="23">
        <v>56</v>
      </c>
      <c r="D1236" t="s">
        <v>5789</v>
      </c>
      <c r="E1236" t="s">
        <v>131</v>
      </c>
    </row>
    <row r="1237" spans="1:5" x14ac:dyDescent="0.25">
      <c r="A1237" t="s">
        <v>1402</v>
      </c>
      <c r="B1237" s="23">
        <v>56</v>
      </c>
      <c r="D1237" t="s">
        <v>5790</v>
      </c>
      <c r="E1237" t="s">
        <v>131</v>
      </c>
    </row>
    <row r="1238" spans="1:5" x14ac:dyDescent="0.25">
      <c r="A1238" t="s">
        <v>1403</v>
      </c>
      <c r="B1238" s="23">
        <v>57</v>
      </c>
      <c r="D1238" t="s">
        <v>5791</v>
      </c>
      <c r="E1238" t="s">
        <v>131</v>
      </c>
    </row>
    <row r="1239" spans="1:5" x14ac:dyDescent="0.25">
      <c r="A1239" t="s">
        <v>1404</v>
      </c>
      <c r="B1239" s="23">
        <v>57</v>
      </c>
      <c r="D1239" t="s">
        <v>5792</v>
      </c>
      <c r="E1239" t="s">
        <v>131</v>
      </c>
    </row>
    <row r="1240" spans="1:5" x14ac:dyDescent="0.25">
      <c r="A1240" t="s">
        <v>1405</v>
      </c>
      <c r="B1240" s="23">
        <v>57</v>
      </c>
      <c r="D1240" t="s">
        <v>5793</v>
      </c>
      <c r="E1240" t="s">
        <v>131</v>
      </c>
    </row>
    <row r="1241" spans="1:5" x14ac:dyDescent="0.25">
      <c r="A1241" t="s">
        <v>1406</v>
      </c>
      <c r="B1241" s="23">
        <v>58</v>
      </c>
      <c r="D1241" t="s">
        <v>5794</v>
      </c>
      <c r="E1241" t="s">
        <v>131</v>
      </c>
    </row>
    <row r="1242" spans="1:5" x14ac:dyDescent="0.25">
      <c r="A1242" t="s">
        <v>1407</v>
      </c>
      <c r="B1242" s="23">
        <v>58</v>
      </c>
      <c r="D1242" t="s">
        <v>5795</v>
      </c>
      <c r="E1242" t="s">
        <v>131</v>
      </c>
    </row>
    <row r="1243" spans="1:5" x14ac:dyDescent="0.25">
      <c r="A1243" t="s">
        <v>1408</v>
      </c>
      <c r="B1243" s="23">
        <v>59</v>
      </c>
      <c r="D1243" t="s">
        <v>5796</v>
      </c>
      <c r="E1243" t="s">
        <v>131</v>
      </c>
    </row>
    <row r="1244" spans="1:5" x14ac:dyDescent="0.25">
      <c r="A1244" t="s">
        <v>1409</v>
      </c>
      <c r="B1244" s="23">
        <v>59</v>
      </c>
      <c r="D1244" t="s">
        <v>5797</v>
      </c>
      <c r="E1244" t="s">
        <v>131</v>
      </c>
    </row>
    <row r="1245" spans="1:5" x14ac:dyDescent="0.25">
      <c r="A1245" t="s">
        <v>1410</v>
      </c>
      <c r="B1245" s="23">
        <v>59</v>
      </c>
      <c r="D1245" t="s">
        <v>5798</v>
      </c>
      <c r="E1245" t="s">
        <v>131</v>
      </c>
    </row>
    <row r="1246" spans="1:5" x14ac:dyDescent="0.25">
      <c r="A1246" t="s">
        <v>1411</v>
      </c>
      <c r="B1246" s="23">
        <v>60</v>
      </c>
      <c r="D1246" t="s">
        <v>5799</v>
      </c>
      <c r="E1246" t="s">
        <v>131</v>
      </c>
    </row>
    <row r="1247" spans="1:5" x14ac:dyDescent="0.25">
      <c r="A1247" t="s">
        <v>1412</v>
      </c>
      <c r="B1247" s="23">
        <v>60</v>
      </c>
      <c r="D1247" t="s">
        <v>5800</v>
      </c>
      <c r="E1247" t="s">
        <v>131</v>
      </c>
    </row>
    <row r="1248" spans="1:5" x14ac:dyDescent="0.25">
      <c r="A1248" t="s">
        <v>1413</v>
      </c>
      <c r="B1248" s="23">
        <v>60</v>
      </c>
      <c r="D1248" t="s">
        <v>5801</v>
      </c>
      <c r="E1248" t="s">
        <v>131</v>
      </c>
    </row>
    <row r="1249" spans="1:5" x14ac:dyDescent="0.25">
      <c r="A1249" t="s">
        <v>1414</v>
      </c>
      <c r="B1249" s="23">
        <v>61</v>
      </c>
      <c r="D1249" t="s">
        <v>5802</v>
      </c>
      <c r="E1249" t="s">
        <v>131</v>
      </c>
    </row>
    <row r="1250" spans="1:5" x14ac:dyDescent="0.25">
      <c r="A1250" t="s">
        <v>1415</v>
      </c>
      <c r="B1250" s="23">
        <v>61</v>
      </c>
      <c r="D1250" t="s">
        <v>5803</v>
      </c>
      <c r="E1250" t="s">
        <v>131</v>
      </c>
    </row>
    <row r="1251" spans="1:5" x14ac:dyDescent="0.25">
      <c r="A1251" t="s">
        <v>1416</v>
      </c>
      <c r="B1251" s="23">
        <v>62</v>
      </c>
      <c r="D1251" t="s">
        <v>5804</v>
      </c>
      <c r="E1251" t="s">
        <v>131</v>
      </c>
    </row>
    <row r="1252" spans="1:5" x14ac:dyDescent="0.25">
      <c r="A1252" t="s">
        <v>1417</v>
      </c>
      <c r="B1252" s="23">
        <v>62</v>
      </c>
      <c r="D1252" t="s">
        <v>5805</v>
      </c>
      <c r="E1252" t="s">
        <v>131</v>
      </c>
    </row>
    <row r="1253" spans="1:5" x14ac:dyDescent="0.25">
      <c r="A1253" t="s">
        <v>1418</v>
      </c>
      <c r="B1253" s="23">
        <v>62</v>
      </c>
      <c r="D1253" t="s">
        <v>5806</v>
      </c>
      <c r="E1253" t="s">
        <v>131</v>
      </c>
    </row>
    <row r="1254" spans="1:5" x14ac:dyDescent="0.25">
      <c r="A1254" t="s">
        <v>1419</v>
      </c>
      <c r="B1254" s="23">
        <v>62</v>
      </c>
      <c r="D1254" t="s">
        <v>5807</v>
      </c>
      <c r="E1254" t="s">
        <v>131</v>
      </c>
    </row>
    <row r="1255" spans="1:5" x14ac:dyDescent="0.25">
      <c r="A1255" t="s">
        <v>1420</v>
      </c>
      <c r="B1255" s="23">
        <v>62</v>
      </c>
      <c r="D1255" t="s">
        <v>5808</v>
      </c>
      <c r="E1255" t="s">
        <v>131</v>
      </c>
    </row>
    <row r="1256" spans="1:5" x14ac:dyDescent="0.25">
      <c r="A1256" t="s">
        <v>1421</v>
      </c>
      <c r="B1256" s="23">
        <v>63</v>
      </c>
      <c r="D1256" t="s">
        <v>5809</v>
      </c>
      <c r="E1256" t="s">
        <v>131</v>
      </c>
    </row>
    <row r="1257" spans="1:5" x14ac:dyDescent="0.25">
      <c r="A1257" t="s">
        <v>1422</v>
      </c>
      <c r="B1257" s="23">
        <v>63</v>
      </c>
      <c r="D1257" t="s">
        <v>5810</v>
      </c>
      <c r="E1257" t="s">
        <v>131</v>
      </c>
    </row>
    <row r="1258" spans="1:5" x14ac:dyDescent="0.25">
      <c r="A1258" t="s">
        <v>1423</v>
      </c>
      <c r="B1258" s="23">
        <v>63</v>
      </c>
      <c r="D1258" t="s">
        <v>5811</v>
      </c>
      <c r="E1258" t="s">
        <v>131</v>
      </c>
    </row>
    <row r="1259" spans="1:5" x14ac:dyDescent="0.25">
      <c r="A1259" t="s">
        <v>1424</v>
      </c>
      <c r="B1259" s="23">
        <v>63</v>
      </c>
      <c r="D1259" t="s">
        <v>5812</v>
      </c>
      <c r="E1259" t="s">
        <v>131</v>
      </c>
    </row>
    <row r="1260" spans="1:5" x14ac:dyDescent="0.25">
      <c r="A1260" t="s">
        <v>1425</v>
      </c>
      <c r="B1260" s="23">
        <v>63</v>
      </c>
      <c r="D1260" t="s">
        <v>5813</v>
      </c>
      <c r="E1260" t="s">
        <v>131</v>
      </c>
    </row>
    <row r="1261" spans="1:5" x14ac:dyDescent="0.25">
      <c r="A1261" t="s">
        <v>1426</v>
      </c>
      <c r="B1261" s="23">
        <v>64</v>
      </c>
      <c r="D1261" t="s">
        <v>5814</v>
      </c>
      <c r="E1261" t="s">
        <v>131</v>
      </c>
    </row>
    <row r="1262" spans="1:5" x14ac:dyDescent="0.25">
      <c r="A1262" t="s">
        <v>1427</v>
      </c>
      <c r="B1262" s="23">
        <v>64</v>
      </c>
      <c r="D1262" t="s">
        <v>5815</v>
      </c>
      <c r="E1262" t="s">
        <v>131</v>
      </c>
    </row>
    <row r="1263" spans="1:5" x14ac:dyDescent="0.25">
      <c r="A1263" t="s">
        <v>1428</v>
      </c>
      <c r="B1263" s="23">
        <v>64</v>
      </c>
      <c r="D1263" t="s">
        <v>5816</v>
      </c>
      <c r="E1263" t="s">
        <v>131</v>
      </c>
    </row>
    <row r="1264" spans="1:5" x14ac:dyDescent="0.25">
      <c r="A1264" t="s">
        <v>1429</v>
      </c>
      <c r="B1264" s="23">
        <v>64</v>
      </c>
      <c r="D1264" t="s">
        <v>5817</v>
      </c>
      <c r="E1264" t="s">
        <v>131</v>
      </c>
    </row>
    <row r="1265" spans="1:5" x14ac:dyDescent="0.25">
      <c r="A1265" t="s">
        <v>1430</v>
      </c>
      <c r="B1265" s="23">
        <v>64</v>
      </c>
      <c r="D1265" t="s">
        <v>5818</v>
      </c>
      <c r="E1265" t="s">
        <v>132</v>
      </c>
    </row>
    <row r="1266" spans="1:5" x14ac:dyDescent="0.25">
      <c r="A1266" t="s">
        <v>1431</v>
      </c>
      <c r="B1266" s="23">
        <v>65</v>
      </c>
      <c r="D1266" t="s">
        <v>5819</v>
      </c>
      <c r="E1266" t="s">
        <v>132</v>
      </c>
    </row>
    <row r="1267" spans="1:5" x14ac:dyDescent="0.25">
      <c r="A1267" t="s">
        <v>1432</v>
      </c>
      <c r="B1267" s="23">
        <v>65</v>
      </c>
      <c r="D1267" t="s">
        <v>5820</v>
      </c>
      <c r="E1267" t="s">
        <v>132</v>
      </c>
    </row>
    <row r="1268" spans="1:5" x14ac:dyDescent="0.25">
      <c r="A1268" t="s">
        <v>1433</v>
      </c>
      <c r="B1268" s="23">
        <v>65</v>
      </c>
      <c r="D1268" t="s">
        <v>5821</v>
      </c>
      <c r="E1268" t="s">
        <v>132</v>
      </c>
    </row>
    <row r="1269" spans="1:5" x14ac:dyDescent="0.25">
      <c r="A1269" t="s">
        <v>1434</v>
      </c>
      <c r="B1269" s="23">
        <v>65</v>
      </c>
      <c r="D1269" t="s">
        <v>5822</v>
      </c>
      <c r="E1269" t="s">
        <v>132</v>
      </c>
    </row>
    <row r="1270" spans="1:5" x14ac:dyDescent="0.25">
      <c r="A1270" t="s">
        <v>1435</v>
      </c>
      <c r="B1270" s="23">
        <v>65</v>
      </c>
      <c r="D1270" t="s">
        <v>5823</v>
      </c>
      <c r="E1270" t="s">
        <v>132</v>
      </c>
    </row>
    <row r="1271" spans="1:5" x14ac:dyDescent="0.25">
      <c r="A1271" t="s">
        <v>1436</v>
      </c>
      <c r="B1271" s="23">
        <v>66</v>
      </c>
      <c r="D1271" t="s">
        <v>5824</v>
      </c>
      <c r="E1271" t="s">
        <v>132</v>
      </c>
    </row>
    <row r="1272" spans="1:5" x14ac:dyDescent="0.25">
      <c r="A1272" t="s">
        <v>1437</v>
      </c>
      <c r="B1272" s="23">
        <v>66</v>
      </c>
      <c r="D1272" t="s">
        <v>5825</v>
      </c>
      <c r="E1272" t="s">
        <v>132</v>
      </c>
    </row>
    <row r="1273" spans="1:5" x14ac:dyDescent="0.25">
      <c r="A1273" t="s">
        <v>1438</v>
      </c>
      <c r="B1273" s="23">
        <v>66</v>
      </c>
      <c r="D1273" t="s">
        <v>5826</v>
      </c>
      <c r="E1273" t="s">
        <v>132</v>
      </c>
    </row>
    <row r="1274" spans="1:5" x14ac:dyDescent="0.25">
      <c r="A1274" t="s">
        <v>1439</v>
      </c>
      <c r="B1274" s="23">
        <v>66</v>
      </c>
      <c r="D1274" t="s">
        <v>5827</v>
      </c>
      <c r="E1274" t="s">
        <v>132</v>
      </c>
    </row>
    <row r="1275" spans="1:5" x14ac:dyDescent="0.25">
      <c r="A1275" t="s">
        <v>1440</v>
      </c>
      <c r="B1275" s="23">
        <v>66</v>
      </c>
      <c r="D1275" t="s">
        <v>5828</v>
      </c>
      <c r="E1275" t="s">
        <v>132</v>
      </c>
    </row>
    <row r="1276" spans="1:5" x14ac:dyDescent="0.25">
      <c r="A1276" t="s">
        <v>1441</v>
      </c>
      <c r="B1276" s="23">
        <v>67</v>
      </c>
      <c r="D1276" t="s">
        <v>5829</v>
      </c>
      <c r="E1276" t="s">
        <v>132</v>
      </c>
    </row>
    <row r="1277" spans="1:5" x14ac:dyDescent="0.25">
      <c r="A1277" t="s">
        <v>1442</v>
      </c>
      <c r="B1277" s="23">
        <v>67</v>
      </c>
      <c r="D1277" t="s">
        <v>5830</v>
      </c>
      <c r="E1277" t="s">
        <v>132</v>
      </c>
    </row>
    <row r="1278" spans="1:5" x14ac:dyDescent="0.25">
      <c r="A1278" t="s">
        <v>1443</v>
      </c>
      <c r="B1278" s="23">
        <v>67</v>
      </c>
      <c r="D1278" t="s">
        <v>5831</v>
      </c>
      <c r="E1278" t="s">
        <v>132</v>
      </c>
    </row>
    <row r="1279" spans="1:5" x14ac:dyDescent="0.25">
      <c r="A1279" t="s">
        <v>1444</v>
      </c>
      <c r="B1279" s="23">
        <v>67</v>
      </c>
      <c r="D1279" t="s">
        <v>5832</v>
      </c>
      <c r="E1279" t="s">
        <v>132</v>
      </c>
    </row>
    <row r="1280" spans="1:5" x14ac:dyDescent="0.25">
      <c r="A1280" t="s">
        <v>1445</v>
      </c>
      <c r="B1280" s="23">
        <v>67</v>
      </c>
      <c r="D1280" t="s">
        <v>5833</v>
      </c>
      <c r="E1280" t="s">
        <v>132</v>
      </c>
    </row>
    <row r="1281" spans="1:5" x14ac:dyDescent="0.25">
      <c r="A1281" t="s">
        <v>1446</v>
      </c>
      <c r="B1281" s="23">
        <v>68</v>
      </c>
      <c r="D1281" t="s">
        <v>5834</v>
      </c>
      <c r="E1281" t="s">
        <v>132</v>
      </c>
    </row>
    <row r="1282" spans="1:5" x14ac:dyDescent="0.25">
      <c r="A1282" t="s">
        <v>1447</v>
      </c>
      <c r="B1282" s="23">
        <v>68</v>
      </c>
      <c r="D1282" t="s">
        <v>5835</v>
      </c>
      <c r="E1282" t="s">
        <v>132</v>
      </c>
    </row>
    <row r="1283" spans="1:5" x14ac:dyDescent="0.25">
      <c r="A1283" t="s">
        <v>1448</v>
      </c>
      <c r="B1283" s="23">
        <v>68</v>
      </c>
      <c r="D1283" t="s">
        <v>5836</v>
      </c>
      <c r="E1283" t="s">
        <v>132</v>
      </c>
    </row>
    <row r="1284" spans="1:5" x14ac:dyDescent="0.25">
      <c r="A1284" t="s">
        <v>1449</v>
      </c>
      <c r="B1284" s="23">
        <v>68</v>
      </c>
      <c r="D1284" t="s">
        <v>5837</v>
      </c>
      <c r="E1284" t="s">
        <v>132</v>
      </c>
    </row>
    <row r="1285" spans="1:5" x14ac:dyDescent="0.25">
      <c r="A1285" t="s">
        <v>1450</v>
      </c>
      <c r="B1285" s="23">
        <v>68</v>
      </c>
      <c r="D1285" t="s">
        <v>5838</v>
      </c>
      <c r="E1285" t="s">
        <v>133</v>
      </c>
    </row>
    <row r="1286" spans="1:5" x14ac:dyDescent="0.25">
      <c r="A1286" t="s">
        <v>1451</v>
      </c>
      <c r="B1286" s="23">
        <v>69</v>
      </c>
      <c r="D1286" t="s">
        <v>5839</v>
      </c>
      <c r="E1286" t="s">
        <v>133</v>
      </c>
    </row>
    <row r="1287" spans="1:5" x14ac:dyDescent="0.25">
      <c r="A1287" t="s">
        <v>1452</v>
      </c>
      <c r="B1287" s="23">
        <v>69</v>
      </c>
      <c r="D1287" t="s">
        <v>5840</v>
      </c>
      <c r="E1287" t="s">
        <v>133</v>
      </c>
    </row>
    <row r="1288" spans="1:5" x14ac:dyDescent="0.25">
      <c r="A1288" t="s">
        <v>1453</v>
      </c>
      <c r="B1288" s="23">
        <v>69</v>
      </c>
      <c r="D1288" t="s">
        <v>5841</v>
      </c>
      <c r="E1288" t="s">
        <v>133</v>
      </c>
    </row>
    <row r="1289" spans="1:5" x14ac:dyDescent="0.25">
      <c r="A1289" t="s">
        <v>1454</v>
      </c>
      <c r="B1289" s="23">
        <v>69</v>
      </c>
      <c r="D1289" t="s">
        <v>5842</v>
      </c>
      <c r="E1289" t="s">
        <v>133</v>
      </c>
    </row>
    <row r="1290" spans="1:5" x14ac:dyDescent="0.25">
      <c r="A1290" t="s">
        <v>1455</v>
      </c>
      <c r="B1290" s="23">
        <v>69</v>
      </c>
      <c r="D1290" t="s">
        <v>5843</v>
      </c>
      <c r="E1290" t="s">
        <v>133</v>
      </c>
    </row>
    <row r="1291" spans="1:5" x14ac:dyDescent="0.25">
      <c r="A1291" t="s">
        <v>1456</v>
      </c>
      <c r="B1291" s="23">
        <v>70</v>
      </c>
      <c r="D1291" t="s">
        <v>5844</v>
      </c>
      <c r="E1291" t="s">
        <v>133</v>
      </c>
    </row>
    <row r="1292" spans="1:5" x14ac:dyDescent="0.25">
      <c r="A1292" t="s">
        <v>1457</v>
      </c>
      <c r="B1292" s="23">
        <v>70</v>
      </c>
      <c r="D1292" t="s">
        <v>5845</v>
      </c>
      <c r="E1292" t="s">
        <v>133</v>
      </c>
    </row>
    <row r="1293" spans="1:5" x14ac:dyDescent="0.25">
      <c r="A1293" t="s">
        <v>1458</v>
      </c>
      <c r="B1293" s="23">
        <v>70</v>
      </c>
      <c r="D1293" t="s">
        <v>5846</v>
      </c>
      <c r="E1293" t="s">
        <v>133</v>
      </c>
    </row>
    <row r="1294" spans="1:5" x14ac:dyDescent="0.25">
      <c r="A1294" t="s">
        <v>1459</v>
      </c>
      <c r="B1294" s="23">
        <v>70</v>
      </c>
      <c r="D1294" t="s">
        <v>5847</v>
      </c>
      <c r="E1294" t="s">
        <v>133</v>
      </c>
    </row>
    <row r="1295" spans="1:5" x14ac:dyDescent="0.25">
      <c r="A1295" t="s">
        <v>1460</v>
      </c>
      <c r="B1295" s="23">
        <v>70</v>
      </c>
      <c r="D1295" t="s">
        <v>5848</v>
      </c>
      <c r="E1295" t="s">
        <v>133</v>
      </c>
    </row>
    <row r="1296" spans="1:5" x14ac:dyDescent="0.25">
      <c r="A1296" t="s">
        <v>1461</v>
      </c>
      <c r="B1296" s="23">
        <v>70</v>
      </c>
      <c r="D1296" t="s">
        <v>5849</v>
      </c>
      <c r="E1296" t="s">
        <v>133</v>
      </c>
    </row>
    <row r="1297" spans="1:5" x14ac:dyDescent="0.25">
      <c r="A1297" t="s">
        <v>1462</v>
      </c>
      <c r="B1297" s="23">
        <v>70</v>
      </c>
      <c r="D1297" t="s">
        <v>5850</v>
      </c>
      <c r="E1297" t="s">
        <v>133</v>
      </c>
    </row>
    <row r="1298" spans="1:5" x14ac:dyDescent="0.25">
      <c r="A1298" t="s">
        <v>1463</v>
      </c>
      <c r="B1298" s="23">
        <v>70</v>
      </c>
      <c r="D1298" t="s">
        <v>5851</v>
      </c>
      <c r="E1298" t="s">
        <v>133</v>
      </c>
    </row>
    <row r="1299" spans="1:5" x14ac:dyDescent="0.25">
      <c r="A1299" t="s">
        <v>1464</v>
      </c>
      <c r="B1299" s="23">
        <v>70</v>
      </c>
      <c r="D1299" t="s">
        <v>5852</v>
      </c>
      <c r="E1299" t="s">
        <v>133</v>
      </c>
    </row>
    <row r="1300" spans="1:5" x14ac:dyDescent="0.25">
      <c r="A1300" t="s">
        <v>1465</v>
      </c>
      <c r="B1300" s="23">
        <v>70</v>
      </c>
      <c r="D1300" t="s">
        <v>5853</v>
      </c>
      <c r="E1300" t="s">
        <v>133</v>
      </c>
    </row>
    <row r="1301" spans="1:5" x14ac:dyDescent="0.25">
      <c r="A1301" t="s">
        <v>1466</v>
      </c>
      <c r="B1301" s="23">
        <v>70</v>
      </c>
      <c r="D1301" t="s">
        <v>5854</v>
      </c>
      <c r="E1301" t="s">
        <v>133</v>
      </c>
    </row>
    <row r="1302" spans="1:5" x14ac:dyDescent="0.25">
      <c r="A1302" s="23" t="s">
        <v>1467</v>
      </c>
      <c r="B1302" s="23">
        <v>1</v>
      </c>
      <c r="D1302" t="s">
        <v>5855</v>
      </c>
      <c r="E1302" t="s">
        <v>133</v>
      </c>
    </row>
    <row r="1303" spans="1:5" x14ac:dyDescent="0.25">
      <c r="A1303" t="s">
        <v>1468</v>
      </c>
      <c r="B1303" s="23">
        <v>2</v>
      </c>
      <c r="D1303" t="s">
        <v>5856</v>
      </c>
      <c r="E1303" t="s">
        <v>133</v>
      </c>
    </row>
    <row r="1304" spans="1:5" x14ac:dyDescent="0.25">
      <c r="A1304" t="s">
        <v>1469</v>
      </c>
      <c r="B1304" s="23">
        <v>3</v>
      </c>
      <c r="D1304" t="s">
        <v>5857</v>
      </c>
      <c r="E1304" t="s">
        <v>133</v>
      </c>
    </row>
    <row r="1305" spans="1:5" x14ac:dyDescent="0.25">
      <c r="A1305" t="s">
        <v>1470</v>
      </c>
      <c r="B1305" s="23">
        <v>4</v>
      </c>
      <c r="D1305" t="s">
        <v>5858</v>
      </c>
      <c r="E1305" t="s">
        <v>134</v>
      </c>
    </row>
    <row r="1306" spans="1:5" x14ac:dyDescent="0.25">
      <c r="A1306" t="s">
        <v>1471</v>
      </c>
      <c r="B1306" s="23">
        <v>5</v>
      </c>
      <c r="D1306" t="s">
        <v>5859</v>
      </c>
      <c r="E1306" t="s">
        <v>134</v>
      </c>
    </row>
    <row r="1307" spans="1:5" x14ac:dyDescent="0.25">
      <c r="A1307" t="s">
        <v>1472</v>
      </c>
      <c r="B1307" s="23">
        <v>6</v>
      </c>
      <c r="D1307" t="s">
        <v>5860</v>
      </c>
      <c r="E1307" t="s">
        <v>134</v>
      </c>
    </row>
    <row r="1308" spans="1:5" x14ac:dyDescent="0.25">
      <c r="A1308" t="s">
        <v>1473</v>
      </c>
      <c r="B1308" s="23">
        <v>8</v>
      </c>
      <c r="D1308" t="s">
        <v>5861</v>
      </c>
      <c r="E1308" t="s">
        <v>134</v>
      </c>
    </row>
    <row r="1309" spans="1:5" x14ac:dyDescent="0.25">
      <c r="A1309" t="s">
        <v>1474</v>
      </c>
      <c r="B1309" s="23">
        <v>10</v>
      </c>
      <c r="D1309" t="s">
        <v>5862</v>
      </c>
      <c r="E1309" t="s">
        <v>134</v>
      </c>
    </row>
    <row r="1310" spans="1:5" x14ac:dyDescent="0.25">
      <c r="A1310" t="s">
        <v>1475</v>
      </c>
      <c r="B1310" s="23">
        <v>12</v>
      </c>
      <c r="D1310" t="s">
        <v>5863</v>
      </c>
      <c r="E1310" t="s">
        <v>134</v>
      </c>
    </row>
    <row r="1311" spans="1:5" x14ac:dyDescent="0.25">
      <c r="A1311" t="s">
        <v>1476</v>
      </c>
      <c r="B1311" s="23">
        <v>14</v>
      </c>
      <c r="D1311" t="s">
        <v>5864</v>
      </c>
      <c r="E1311" t="s">
        <v>134</v>
      </c>
    </row>
    <row r="1312" spans="1:5" x14ac:dyDescent="0.25">
      <c r="A1312" t="s">
        <v>1477</v>
      </c>
      <c r="B1312" s="23">
        <v>16</v>
      </c>
      <c r="D1312" t="s">
        <v>5865</v>
      </c>
      <c r="E1312" t="s">
        <v>134</v>
      </c>
    </row>
    <row r="1313" spans="1:5" x14ac:dyDescent="0.25">
      <c r="A1313" t="s">
        <v>1478</v>
      </c>
      <c r="B1313" s="23">
        <v>18</v>
      </c>
      <c r="D1313" t="s">
        <v>5866</v>
      </c>
      <c r="E1313" t="s">
        <v>134</v>
      </c>
    </row>
    <row r="1314" spans="1:5" x14ac:dyDescent="0.25">
      <c r="A1314" t="s">
        <v>1479</v>
      </c>
      <c r="B1314" s="23">
        <v>20</v>
      </c>
      <c r="D1314" t="s">
        <v>5867</v>
      </c>
      <c r="E1314" t="s">
        <v>134</v>
      </c>
    </row>
    <row r="1315" spans="1:5" x14ac:dyDescent="0.25">
      <c r="A1315" t="s">
        <v>1480</v>
      </c>
      <c r="B1315" s="23">
        <v>22</v>
      </c>
      <c r="D1315" t="s">
        <v>5868</v>
      </c>
      <c r="E1315" t="s">
        <v>135</v>
      </c>
    </row>
    <row r="1316" spans="1:5" x14ac:dyDescent="0.25">
      <c r="A1316" t="s">
        <v>1481</v>
      </c>
      <c r="B1316" s="23">
        <v>24</v>
      </c>
      <c r="D1316" t="s">
        <v>5869</v>
      </c>
      <c r="E1316" t="s">
        <v>135</v>
      </c>
    </row>
    <row r="1317" spans="1:5" x14ac:dyDescent="0.25">
      <c r="A1317" t="s">
        <v>1482</v>
      </c>
      <c r="B1317" s="23">
        <v>26</v>
      </c>
      <c r="D1317" t="s">
        <v>5870</v>
      </c>
      <c r="E1317" t="s">
        <v>135</v>
      </c>
    </row>
    <row r="1318" spans="1:5" x14ac:dyDescent="0.25">
      <c r="A1318" t="s">
        <v>1483</v>
      </c>
      <c r="B1318" s="23">
        <v>28</v>
      </c>
      <c r="D1318" t="s">
        <v>5871</v>
      </c>
      <c r="E1318" t="s">
        <v>135</v>
      </c>
    </row>
    <row r="1319" spans="1:5" x14ac:dyDescent="0.25">
      <c r="A1319" t="s">
        <v>1484</v>
      </c>
      <c r="B1319" s="23">
        <v>30</v>
      </c>
      <c r="D1319" t="s">
        <v>5872</v>
      </c>
      <c r="E1319" t="s">
        <v>135</v>
      </c>
    </row>
    <row r="1320" spans="1:5" x14ac:dyDescent="0.25">
      <c r="A1320" t="s">
        <v>1485</v>
      </c>
      <c r="B1320" s="23">
        <v>31</v>
      </c>
      <c r="D1320" t="s">
        <v>5873</v>
      </c>
      <c r="E1320" t="s">
        <v>135</v>
      </c>
    </row>
    <row r="1321" spans="1:5" x14ac:dyDescent="0.25">
      <c r="A1321" t="s">
        <v>1486</v>
      </c>
      <c r="B1321" s="23">
        <v>32</v>
      </c>
      <c r="D1321" t="s">
        <v>5874</v>
      </c>
      <c r="E1321" t="s">
        <v>135</v>
      </c>
    </row>
    <row r="1322" spans="1:5" x14ac:dyDescent="0.25">
      <c r="A1322" t="s">
        <v>1487</v>
      </c>
      <c r="B1322" s="23">
        <v>33</v>
      </c>
      <c r="D1322" t="s">
        <v>5875</v>
      </c>
      <c r="E1322" t="s">
        <v>135</v>
      </c>
    </row>
    <row r="1323" spans="1:5" x14ac:dyDescent="0.25">
      <c r="A1323" t="s">
        <v>1488</v>
      </c>
      <c r="B1323" s="23">
        <v>34</v>
      </c>
      <c r="D1323" t="s">
        <v>5876</v>
      </c>
      <c r="E1323" t="s">
        <v>135</v>
      </c>
    </row>
    <row r="1324" spans="1:5" x14ac:dyDescent="0.25">
      <c r="A1324" t="s">
        <v>1489</v>
      </c>
      <c r="B1324" s="23">
        <v>35</v>
      </c>
      <c r="D1324" t="s">
        <v>5877</v>
      </c>
      <c r="E1324" t="s">
        <v>135</v>
      </c>
    </row>
    <row r="1325" spans="1:5" x14ac:dyDescent="0.25">
      <c r="A1325" t="s">
        <v>1490</v>
      </c>
      <c r="B1325" s="23">
        <v>36</v>
      </c>
      <c r="D1325" t="s">
        <v>5878</v>
      </c>
      <c r="E1325" t="s">
        <v>135</v>
      </c>
    </row>
    <row r="1326" spans="1:5" x14ac:dyDescent="0.25">
      <c r="A1326" t="s">
        <v>1491</v>
      </c>
      <c r="B1326" s="23">
        <v>37</v>
      </c>
      <c r="D1326" t="s">
        <v>5879</v>
      </c>
      <c r="E1326" t="s">
        <v>135</v>
      </c>
    </row>
    <row r="1327" spans="1:5" x14ac:dyDescent="0.25">
      <c r="A1327" t="s">
        <v>1492</v>
      </c>
      <c r="B1327" s="23">
        <v>38</v>
      </c>
      <c r="D1327" t="s">
        <v>5880</v>
      </c>
      <c r="E1327" t="s">
        <v>135</v>
      </c>
    </row>
    <row r="1328" spans="1:5" x14ac:dyDescent="0.25">
      <c r="A1328" t="s">
        <v>1493</v>
      </c>
      <c r="B1328" s="23">
        <v>39</v>
      </c>
      <c r="D1328" t="s">
        <v>5881</v>
      </c>
      <c r="E1328" t="s">
        <v>135</v>
      </c>
    </row>
    <row r="1329" spans="1:5" x14ac:dyDescent="0.25">
      <c r="A1329" t="s">
        <v>1494</v>
      </c>
      <c r="B1329" s="23">
        <v>40</v>
      </c>
      <c r="D1329" t="s">
        <v>5882</v>
      </c>
      <c r="E1329" t="s">
        <v>135</v>
      </c>
    </row>
    <row r="1330" spans="1:5" x14ac:dyDescent="0.25">
      <c r="A1330" t="s">
        <v>1495</v>
      </c>
      <c r="B1330" s="23">
        <v>41</v>
      </c>
      <c r="D1330" t="s">
        <v>5883</v>
      </c>
      <c r="E1330" t="s">
        <v>135</v>
      </c>
    </row>
    <row r="1331" spans="1:5" x14ac:dyDescent="0.25">
      <c r="A1331" t="s">
        <v>1496</v>
      </c>
      <c r="B1331" s="23">
        <v>42</v>
      </c>
      <c r="D1331" t="s">
        <v>5884</v>
      </c>
      <c r="E1331" t="s">
        <v>135</v>
      </c>
    </row>
    <row r="1332" spans="1:5" x14ac:dyDescent="0.25">
      <c r="A1332" t="s">
        <v>1497</v>
      </c>
      <c r="B1332" s="23">
        <v>43</v>
      </c>
      <c r="D1332" t="s">
        <v>5885</v>
      </c>
      <c r="E1332" t="s">
        <v>135</v>
      </c>
    </row>
    <row r="1333" spans="1:5" x14ac:dyDescent="0.25">
      <c r="A1333" t="s">
        <v>1498</v>
      </c>
      <c r="B1333" s="23">
        <v>44</v>
      </c>
      <c r="D1333" t="s">
        <v>5886</v>
      </c>
      <c r="E1333" t="s">
        <v>135</v>
      </c>
    </row>
    <row r="1334" spans="1:5" x14ac:dyDescent="0.25">
      <c r="A1334" t="s">
        <v>1499</v>
      </c>
      <c r="B1334" s="23">
        <v>45</v>
      </c>
      <c r="D1334" t="s">
        <v>5887</v>
      </c>
      <c r="E1334" t="s">
        <v>135</v>
      </c>
    </row>
    <row r="1335" spans="1:5" x14ac:dyDescent="0.25">
      <c r="A1335" t="s">
        <v>1500</v>
      </c>
      <c r="B1335" s="23">
        <v>46</v>
      </c>
      <c r="D1335" t="s">
        <v>5888</v>
      </c>
      <c r="E1335" t="s">
        <v>135</v>
      </c>
    </row>
    <row r="1336" spans="1:5" x14ac:dyDescent="0.25">
      <c r="A1336" t="s">
        <v>1501</v>
      </c>
      <c r="B1336" s="23">
        <v>47</v>
      </c>
      <c r="D1336" t="s">
        <v>5889</v>
      </c>
      <c r="E1336" t="s">
        <v>135</v>
      </c>
    </row>
    <row r="1337" spans="1:5" x14ac:dyDescent="0.25">
      <c r="A1337" t="s">
        <v>1502</v>
      </c>
      <c r="B1337" s="23">
        <v>48</v>
      </c>
      <c r="D1337" t="s">
        <v>5890</v>
      </c>
      <c r="E1337" t="s">
        <v>135</v>
      </c>
    </row>
    <row r="1338" spans="1:5" x14ac:dyDescent="0.25">
      <c r="A1338" t="s">
        <v>1503</v>
      </c>
      <c r="B1338" s="23">
        <v>49</v>
      </c>
      <c r="D1338" t="s">
        <v>5891</v>
      </c>
      <c r="E1338" t="s">
        <v>135</v>
      </c>
    </row>
    <row r="1339" spans="1:5" x14ac:dyDescent="0.25">
      <c r="A1339" t="s">
        <v>1504</v>
      </c>
      <c r="B1339" s="23">
        <v>50</v>
      </c>
      <c r="D1339" t="s">
        <v>5892</v>
      </c>
      <c r="E1339" t="s">
        <v>135</v>
      </c>
    </row>
    <row r="1340" spans="1:5" x14ac:dyDescent="0.25">
      <c r="A1340" t="s">
        <v>1505</v>
      </c>
      <c r="B1340" s="23">
        <v>51</v>
      </c>
      <c r="D1340" t="s">
        <v>5893</v>
      </c>
      <c r="E1340" t="s">
        <v>135</v>
      </c>
    </row>
    <row r="1341" spans="1:5" x14ac:dyDescent="0.25">
      <c r="A1341" t="s">
        <v>1506</v>
      </c>
      <c r="B1341" s="23">
        <v>52</v>
      </c>
      <c r="D1341" t="s">
        <v>5894</v>
      </c>
      <c r="E1341" t="s">
        <v>135</v>
      </c>
    </row>
    <row r="1342" spans="1:5" x14ac:dyDescent="0.25">
      <c r="A1342" t="s">
        <v>1507</v>
      </c>
      <c r="B1342" s="23">
        <v>53</v>
      </c>
      <c r="D1342" t="s">
        <v>5895</v>
      </c>
      <c r="E1342" t="s">
        <v>135</v>
      </c>
    </row>
    <row r="1343" spans="1:5" x14ac:dyDescent="0.25">
      <c r="A1343" t="s">
        <v>1508</v>
      </c>
      <c r="B1343" s="23">
        <v>54</v>
      </c>
      <c r="D1343" t="s">
        <v>5896</v>
      </c>
      <c r="E1343" t="s">
        <v>135</v>
      </c>
    </row>
    <row r="1344" spans="1:5" x14ac:dyDescent="0.25">
      <c r="A1344" t="s">
        <v>1509</v>
      </c>
      <c r="B1344" s="23">
        <v>55</v>
      </c>
      <c r="D1344" t="s">
        <v>5897</v>
      </c>
      <c r="E1344" t="s">
        <v>135</v>
      </c>
    </row>
    <row r="1345" spans="1:5" x14ac:dyDescent="0.25">
      <c r="A1345" t="s">
        <v>1510</v>
      </c>
      <c r="B1345" s="23">
        <v>56</v>
      </c>
      <c r="D1345" t="s">
        <v>5898</v>
      </c>
      <c r="E1345" t="s">
        <v>136</v>
      </c>
    </row>
    <row r="1346" spans="1:5" x14ac:dyDescent="0.25">
      <c r="A1346" t="s">
        <v>1511</v>
      </c>
      <c r="B1346" s="23">
        <v>57</v>
      </c>
      <c r="D1346" t="s">
        <v>5899</v>
      </c>
      <c r="E1346" t="s">
        <v>136</v>
      </c>
    </row>
    <row r="1347" spans="1:5" x14ac:dyDescent="0.25">
      <c r="A1347" t="s">
        <v>1512</v>
      </c>
      <c r="B1347" s="23">
        <v>58</v>
      </c>
      <c r="D1347" t="s">
        <v>5900</v>
      </c>
      <c r="E1347" t="s">
        <v>136</v>
      </c>
    </row>
    <row r="1348" spans="1:5" x14ac:dyDescent="0.25">
      <c r="A1348" t="s">
        <v>1513</v>
      </c>
      <c r="B1348" s="23">
        <v>59</v>
      </c>
      <c r="D1348" t="s">
        <v>5901</v>
      </c>
      <c r="E1348" t="s">
        <v>136</v>
      </c>
    </row>
    <row r="1349" spans="1:5" x14ac:dyDescent="0.25">
      <c r="A1349" t="s">
        <v>1514</v>
      </c>
      <c r="B1349" s="23">
        <v>60</v>
      </c>
      <c r="D1349" t="s">
        <v>5902</v>
      </c>
      <c r="E1349" t="s">
        <v>136</v>
      </c>
    </row>
    <row r="1350" spans="1:5" x14ac:dyDescent="0.25">
      <c r="A1350" t="s">
        <v>1515</v>
      </c>
      <c r="B1350" s="23">
        <v>61</v>
      </c>
      <c r="D1350" t="s">
        <v>5903</v>
      </c>
      <c r="E1350" t="s">
        <v>136</v>
      </c>
    </row>
    <row r="1351" spans="1:5" x14ac:dyDescent="0.25">
      <c r="A1351" t="s">
        <v>1516</v>
      </c>
      <c r="B1351" s="23">
        <v>62</v>
      </c>
      <c r="D1351" t="s">
        <v>5904</v>
      </c>
      <c r="E1351" t="s">
        <v>136</v>
      </c>
    </row>
    <row r="1352" spans="1:5" x14ac:dyDescent="0.25">
      <c r="A1352" t="s">
        <v>1517</v>
      </c>
      <c r="B1352" s="23">
        <v>64</v>
      </c>
      <c r="D1352" t="s">
        <v>5905</v>
      </c>
      <c r="E1352" t="s">
        <v>136</v>
      </c>
    </row>
    <row r="1353" spans="1:5" x14ac:dyDescent="0.25">
      <c r="A1353" t="s">
        <v>1518</v>
      </c>
      <c r="B1353" s="23">
        <v>66</v>
      </c>
      <c r="D1353" t="s">
        <v>5906</v>
      </c>
      <c r="E1353" t="s">
        <v>136</v>
      </c>
    </row>
    <row r="1354" spans="1:5" x14ac:dyDescent="0.25">
      <c r="A1354" t="s">
        <v>1519</v>
      </c>
      <c r="B1354" s="23">
        <v>68</v>
      </c>
      <c r="D1354" t="s">
        <v>5907</v>
      </c>
      <c r="E1354" t="s">
        <v>136</v>
      </c>
    </row>
    <row r="1355" spans="1:5" x14ac:dyDescent="0.25">
      <c r="A1355" t="s">
        <v>1520</v>
      </c>
      <c r="B1355" s="23">
        <v>70</v>
      </c>
      <c r="D1355" t="s">
        <v>5908</v>
      </c>
      <c r="E1355" t="s">
        <v>136</v>
      </c>
    </row>
    <row r="1356" spans="1:5" x14ac:dyDescent="0.25">
      <c r="A1356" t="s">
        <v>1521</v>
      </c>
      <c r="B1356" s="23">
        <v>70</v>
      </c>
      <c r="D1356" t="s">
        <v>5909</v>
      </c>
      <c r="E1356" t="s">
        <v>136</v>
      </c>
    </row>
    <row r="1357" spans="1:5" x14ac:dyDescent="0.25">
      <c r="A1357" t="s">
        <v>1522</v>
      </c>
      <c r="B1357" s="23">
        <v>70</v>
      </c>
      <c r="D1357" t="s">
        <v>5910</v>
      </c>
      <c r="E1357" t="s">
        <v>136</v>
      </c>
    </row>
    <row r="1358" spans="1:5" x14ac:dyDescent="0.25">
      <c r="A1358" t="s">
        <v>1523</v>
      </c>
      <c r="B1358" s="23">
        <v>70</v>
      </c>
      <c r="D1358" t="s">
        <v>5911</v>
      </c>
      <c r="E1358" t="s">
        <v>136</v>
      </c>
    </row>
    <row r="1359" spans="1:5" x14ac:dyDescent="0.25">
      <c r="A1359" t="s">
        <v>1524</v>
      </c>
      <c r="B1359" s="23">
        <v>70</v>
      </c>
      <c r="D1359" t="s">
        <v>5912</v>
      </c>
      <c r="E1359" t="s">
        <v>136</v>
      </c>
    </row>
    <row r="1360" spans="1:5" x14ac:dyDescent="0.25">
      <c r="A1360" t="s">
        <v>1525</v>
      </c>
      <c r="B1360" s="23">
        <v>70</v>
      </c>
      <c r="D1360" t="s">
        <v>5913</v>
      </c>
      <c r="E1360" t="s">
        <v>136</v>
      </c>
    </row>
    <row r="1361" spans="1:5" x14ac:dyDescent="0.25">
      <c r="A1361" t="s">
        <v>1526</v>
      </c>
      <c r="B1361" s="23">
        <v>70</v>
      </c>
      <c r="D1361" t="s">
        <v>5914</v>
      </c>
      <c r="E1361" t="s">
        <v>136</v>
      </c>
    </row>
    <row r="1362" spans="1:5" x14ac:dyDescent="0.25">
      <c r="A1362" t="s">
        <v>1527</v>
      </c>
      <c r="B1362" s="23">
        <v>70</v>
      </c>
      <c r="D1362" t="s">
        <v>5915</v>
      </c>
      <c r="E1362" t="s">
        <v>136</v>
      </c>
    </row>
    <row r="1363" spans="1:5" x14ac:dyDescent="0.25">
      <c r="A1363" t="s">
        <v>1528</v>
      </c>
      <c r="B1363" s="23">
        <v>70</v>
      </c>
      <c r="D1363" t="s">
        <v>5916</v>
      </c>
      <c r="E1363" t="s">
        <v>136</v>
      </c>
    </row>
    <row r="1364" spans="1:5" x14ac:dyDescent="0.25">
      <c r="A1364" t="s">
        <v>1529</v>
      </c>
      <c r="B1364" s="23">
        <v>70</v>
      </c>
      <c r="D1364" t="s">
        <v>5917</v>
      </c>
      <c r="E1364" t="s">
        <v>136</v>
      </c>
    </row>
    <row r="1365" spans="1:5" x14ac:dyDescent="0.25">
      <c r="A1365" t="s">
        <v>1530</v>
      </c>
      <c r="B1365" s="23">
        <v>70</v>
      </c>
      <c r="D1365" t="s">
        <v>5918</v>
      </c>
      <c r="E1365" s="23" t="s">
        <v>137</v>
      </c>
    </row>
    <row r="1366" spans="1:5" x14ac:dyDescent="0.25">
      <c r="A1366" t="s">
        <v>1531</v>
      </c>
      <c r="B1366" s="23">
        <v>70</v>
      </c>
      <c r="D1366" t="s">
        <v>5919</v>
      </c>
      <c r="E1366" s="23" t="s">
        <v>137</v>
      </c>
    </row>
    <row r="1367" spans="1:5" x14ac:dyDescent="0.25">
      <c r="A1367" t="s">
        <v>1532</v>
      </c>
      <c r="B1367" s="23">
        <v>70</v>
      </c>
      <c r="D1367" t="s">
        <v>5920</v>
      </c>
      <c r="E1367" s="23" t="s">
        <v>137</v>
      </c>
    </row>
    <row r="1368" spans="1:5" x14ac:dyDescent="0.25">
      <c r="A1368" t="s">
        <v>1533</v>
      </c>
      <c r="B1368" s="23">
        <v>70</v>
      </c>
      <c r="D1368" t="s">
        <v>5921</v>
      </c>
      <c r="E1368" s="23" t="s">
        <v>137</v>
      </c>
    </row>
    <row r="1369" spans="1:5" x14ac:dyDescent="0.25">
      <c r="A1369" t="s">
        <v>1534</v>
      </c>
      <c r="B1369" s="23">
        <v>70</v>
      </c>
      <c r="D1369" t="s">
        <v>5922</v>
      </c>
      <c r="E1369" s="23" t="s">
        <v>137</v>
      </c>
    </row>
    <row r="1370" spans="1:5" x14ac:dyDescent="0.25">
      <c r="A1370" t="s">
        <v>1535</v>
      </c>
      <c r="B1370" s="23">
        <v>70</v>
      </c>
      <c r="D1370" t="s">
        <v>5923</v>
      </c>
      <c r="E1370" s="23" t="s">
        <v>137</v>
      </c>
    </row>
    <row r="1371" spans="1:5" x14ac:dyDescent="0.25">
      <c r="A1371" t="s">
        <v>1536</v>
      </c>
      <c r="B1371" s="23">
        <v>70</v>
      </c>
      <c r="D1371" t="s">
        <v>5924</v>
      </c>
      <c r="E1371" s="23" t="s">
        <v>137</v>
      </c>
    </row>
    <row r="1372" spans="1:5" x14ac:dyDescent="0.25">
      <c r="A1372" t="s">
        <v>1537</v>
      </c>
      <c r="B1372" s="23">
        <v>70</v>
      </c>
      <c r="D1372" t="s">
        <v>5925</v>
      </c>
      <c r="E1372" s="23" t="s">
        <v>137</v>
      </c>
    </row>
    <row r="1373" spans="1:5" x14ac:dyDescent="0.25">
      <c r="A1373" t="s">
        <v>1538</v>
      </c>
      <c r="B1373" s="23">
        <v>70</v>
      </c>
      <c r="D1373" t="s">
        <v>5926</v>
      </c>
      <c r="E1373" s="23" t="s">
        <v>137</v>
      </c>
    </row>
    <row r="1374" spans="1:5" x14ac:dyDescent="0.25">
      <c r="A1374" t="s">
        <v>1539</v>
      </c>
      <c r="B1374" s="23">
        <v>70</v>
      </c>
      <c r="D1374" t="s">
        <v>5927</v>
      </c>
      <c r="E1374" s="23" t="s">
        <v>137</v>
      </c>
    </row>
    <row r="1375" spans="1:5" x14ac:dyDescent="0.25">
      <c r="A1375" t="s">
        <v>1540</v>
      </c>
      <c r="B1375" s="23">
        <v>70</v>
      </c>
      <c r="D1375" t="s">
        <v>5928</v>
      </c>
      <c r="E1375" s="23" t="s">
        <v>137</v>
      </c>
    </row>
    <row r="1376" spans="1:5" x14ac:dyDescent="0.25">
      <c r="A1376" t="s">
        <v>1541</v>
      </c>
      <c r="B1376" s="23">
        <v>70</v>
      </c>
      <c r="D1376" t="s">
        <v>5929</v>
      </c>
      <c r="E1376" s="23" t="s">
        <v>137</v>
      </c>
    </row>
    <row r="1377" spans="1:5" x14ac:dyDescent="0.25">
      <c r="A1377" t="s">
        <v>1542</v>
      </c>
      <c r="B1377" s="23">
        <v>70</v>
      </c>
      <c r="D1377" t="s">
        <v>5930</v>
      </c>
      <c r="E1377" s="23" t="s">
        <v>137</v>
      </c>
    </row>
    <row r="1378" spans="1:5" x14ac:dyDescent="0.25">
      <c r="A1378" t="s">
        <v>1543</v>
      </c>
      <c r="B1378" s="23">
        <v>70</v>
      </c>
      <c r="D1378" t="s">
        <v>5931</v>
      </c>
      <c r="E1378" s="23" t="s">
        <v>137</v>
      </c>
    </row>
    <row r="1379" spans="1:5" x14ac:dyDescent="0.25">
      <c r="A1379" t="s">
        <v>1544</v>
      </c>
      <c r="B1379" s="23">
        <v>70</v>
      </c>
      <c r="D1379" t="s">
        <v>5932</v>
      </c>
      <c r="E1379" s="23" t="s">
        <v>137</v>
      </c>
    </row>
    <row r="1380" spans="1:5" x14ac:dyDescent="0.25">
      <c r="A1380" t="s">
        <v>1545</v>
      </c>
      <c r="B1380" s="23">
        <v>70</v>
      </c>
      <c r="D1380" t="s">
        <v>5933</v>
      </c>
      <c r="E1380" s="23" t="s">
        <v>137</v>
      </c>
    </row>
    <row r="1381" spans="1:5" x14ac:dyDescent="0.25">
      <c r="A1381" t="s">
        <v>1546</v>
      </c>
      <c r="B1381" s="23">
        <v>70</v>
      </c>
      <c r="D1381" t="s">
        <v>5934</v>
      </c>
      <c r="E1381" s="23" t="s">
        <v>137</v>
      </c>
    </row>
    <row r="1382" spans="1:5" x14ac:dyDescent="0.25">
      <c r="A1382" t="s">
        <v>1547</v>
      </c>
      <c r="B1382" s="23">
        <v>1</v>
      </c>
      <c r="D1382" t="s">
        <v>5935</v>
      </c>
      <c r="E1382" s="23" t="s">
        <v>137</v>
      </c>
    </row>
    <row r="1383" spans="1:5" x14ac:dyDescent="0.25">
      <c r="A1383" t="s">
        <v>1548</v>
      </c>
      <c r="B1383" s="23">
        <v>2</v>
      </c>
      <c r="D1383" t="s">
        <v>5936</v>
      </c>
      <c r="E1383" s="23" t="s">
        <v>137</v>
      </c>
    </row>
    <row r="1384" spans="1:5" x14ac:dyDescent="0.25">
      <c r="A1384" t="s">
        <v>1549</v>
      </c>
      <c r="B1384" s="23">
        <v>3</v>
      </c>
      <c r="D1384" t="s">
        <v>5937</v>
      </c>
      <c r="E1384" s="23" t="s">
        <v>137</v>
      </c>
    </row>
    <row r="1385" spans="1:5" x14ac:dyDescent="0.25">
      <c r="A1385" t="s">
        <v>1550</v>
      </c>
      <c r="B1385" s="23">
        <v>4</v>
      </c>
      <c r="D1385" t="s">
        <v>5938</v>
      </c>
      <c r="E1385" s="23" t="s">
        <v>138</v>
      </c>
    </row>
    <row r="1386" spans="1:5" x14ac:dyDescent="0.25">
      <c r="A1386" t="s">
        <v>1551</v>
      </c>
      <c r="B1386" s="23">
        <v>5</v>
      </c>
      <c r="D1386" t="s">
        <v>5939</v>
      </c>
      <c r="E1386" s="23" t="s">
        <v>138</v>
      </c>
    </row>
    <row r="1387" spans="1:5" x14ac:dyDescent="0.25">
      <c r="A1387" t="s">
        <v>1552</v>
      </c>
      <c r="B1387" s="23">
        <v>6</v>
      </c>
      <c r="D1387" t="s">
        <v>5940</v>
      </c>
      <c r="E1387" s="23" t="s">
        <v>138</v>
      </c>
    </row>
    <row r="1388" spans="1:5" x14ac:dyDescent="0.25">
      <c r="A1388" t="s">
        <v>1553</v>
      </c>
      <c r="B1388" s="23">
        <v>8</v>
      </c>
      <c r="D1388" t="s">
        <v>5941</v>
      </c>
      <c r="E1388" s="23" t="s">
        <v>138</v>
      </c>
    </row>
    <row r="1389" spans="1:5" x14ac:dyDescent="0.25">
      <c r="A1389" t="s">
        <v>1554</v>
      </c>
      <c r="B1389" s="23">
        <v>10</v>
      </c>
      <c r="D1389" t="s">
        <v>5942</v>
      </c>
      <c r="E1389" s="23" t="s">
        <v>138</v>
      </c>
    </row>
    <row r="1390" spans="1:5" x14ac:dyDescent="0.25">
      <c r="A1390" t="s">
        <v>1555</v>
      </c>
      <c r="B1390" s="23">
        <v>12</v>
      </c>
      <c r="D1390" t="s">
        <v>5943</v>
      </c>
      <c r="E1390" s="23" t="s">
        <v>138</v>
      </c>
    </row>
    <row r="1391" spans="1:5" x14ac:dyDescent="0.25">
      <c r="A1391" t="s">
        <v>1556</v>
      </c>
      <c r="B1391" s="23">
        <v>14</v>
      </c>
      <c r="D1391" t="s">
        <v>5944</v>
      </c>
      <c r="E1391" s="23" t="s">
        <v>138</v>
      </c>
    </row>
    <row r="1392" spans="1:5" x14ac:dyDescent="0.25">
      <c r="A1392" t="s">
        <v>1557</v>
      </c>
      <c r="B1392" s="23">
        <v>16</v>
      </c>
      <c r="D1392" t="s">
        <v>5945</v>
      </c>
      <c r="E1392" s="23" t="s">
        <v>138</v>
      </c>
    </row>
    <row r="1393" spans="1:5" x14ac:dyDescent="0.25">
      <c r="A1393" t="s">
        <v>1558</v>
      </c>
      <c r="B1393" s="23">
        <v>18</v>
      </c>
      <c r="D1393" t="s">
        <v>5946</v>
      </c>
      <c r="E1393" s="23" t="s">
        <v>138</v>
      </c>
    </row>
    <row r="1394" spans="1:5" x14ac:dyDescent="0.25">
      <c r="A1394" t="s">
        <v>1559</v>
      </c>
      <c r="B1394" s="23">
        <v>20</v>
      </c>
      <c r="D1394" t="s">
        <v>5947</v>
      </c>
      <c r="E1394" s="23" t="s">
        <v>138</v>
      </c>
    </row>
    <row r="1395" spans="1:5" x14ac:dyDescent="0.25">
      <c r="A1395" t="s">
        <v>1560</v>
      </c>
      <c r="B1395" s="23">
        <v>22</v>
      </c>
      <c r="D1395" t="s">
        <v>5948</v>
      </c>
      <c r="E1395" s="23" t="s">
        <v>138</v>
      </c>
    </row>
    <row r="1396" spans="1:5" x14ac:dyDescent="0.25">
      <c r="A1396" t="s">
        <v>1561</v>
      </c>
      <c r="B1396" s="23">
        <v>24</v>
      </c>
      <c r="D1396" t="s">
        <v>5949</v>
      </c>
      <c r="E1396" s="23" t="s">
        <v>138</v>
      </c>
    </row>
    <row r="1397" spans="1:5" x14ac:dyDescent="0.25">
      <c r="A1397" t="s">
        <v>1562</v>
      </c>
      <c r="B1397" s="23">
        <v>26</v>
      </c>
      <c r="D1397" t="s">
        <v>5950</v>
      </c>
      <c r="E1397" s="23" t="s">
        <v>138</v>
      </c>
    </row>
    <row r="1398" spans="1:5" x14ac:dyDescent="0.25">
      <c r="A1398" t="s">
        <v>1563</v>
      </c>
      <c r="B1398" s="23">
        <v>28</v>
      </c>
      <c r="D1398" t="s">
        <v>5951</v>
      </c>
      <c r="E1398" s="23" t="s">
        <v>138</v>
      </c>
    </row>
    <row r="1399" spans="1:5" x14ac:dyDescent="0.25">
      <c r="A1399" t="s">
        <v>1564</v>
      </c>
      <c r="B1399" s="23">
        <v>30</v>
      </c>
      <c r="D1399" t="s">
        <v>5952</v>
      </c>
      <c r="E1399" s="23" t="s">
        <v>138</v>
      </c>
    </row>
    <row r="1400" spans="1:5" x14ac:dyDescent="0.25">
      <c r="A1400" t="s">
        <v>1565</v>
      </c>
      <c r="B1400" s="23">
        <v>31</v>
      </c>
      <c r="D1400" t="s">
        <v>5953</v>
      </c>
      <c r="E1400" s="23" t="s">
        <v>138</v>
      </c>
    </row>
    <row r="1401" spans="1:5" x14ac:dyDescent="0.25">
      <c r="A1401" t="s">
        <v>1566</v>
      </c>
      <c r="B1401" s="23">
        <v>32</v>
      </c>
      <c r="D1401" t="s">
        <v>5954</v>
      </c>
      <c r="E1401" s="23" t="s">
        <v>138</v>
      </c>
    </row>
    <row r="1402" spans="1:5" x14ac:dyDescent="0.25">
      <c r="A1402" t="s">
        <v>1567</v>
      </c>
      <c r="B1402" s="23">
        <v>33</v>
      </c>
      <c r="D1402" t="s">
        <v>5955</v>
      </c>
      <c r="E1402" s="23" t="s">
        <v>138</v>
      </c>
    </row>
    <row r="1403" spans="1:5" x14ac:dyDescent="0.25">
      <c r="A1403" t="s">
        <v>1568</v>
      </c>
      <c r="B1403" s="23">
        <v>34</v>
      </c>
      <c r="D1403" t="s">
        <v>5956</v>
      </c>
      <c r="E1403" s="23" t="s">
        <v>138</v>
      </c>
    </row>
    <row r="1404" spans="1:5" x14ac:dyDescent="0.25">
      <c r="A1404" t="s">
        <v>1569</v>
      </c>
      <c r="B1404" s="23">
        <v>35</v>
      </c>
      <c r="D1404" t="s">
        <v>5957</v>
      </c>
      <c r="E1404" s="23" t="s">
        <v>138</v>
      </c>
    </row>
    <row r="1405" spans="1:5" x14ac:dyDescent="0.25">
      <c r="A1405" t="s">
        <v>1570</v>
      </c>
      <c r="B1405" s="23">
        <v>36</v>
      </c>
      <c r="D1405" t="s">
        <v>5958</v>
      </c>
      <c r="E1405" s="23" t="s">
        <v>139</v>
      </c>
    </row>
    <row r="1406" spans="1:5" x14ac:dyDescent="0.25">
      <c r="A1406" t="s">
        <v>1571</v>
      </c>
      <c r="B1406" s="23">
        <v>37</v>
      </c>
      <c r="D1406" t="s">
        <v>5959</v>
      </c>
      <c r="E1406" s="23" t="s">
        <v>139</v>
      </c>
    </row>
    <row r="1407" spans="1:5" x14ac:dyDescent="0.25">
      <c r="A1407" t="s">
        <v>1572</v>
      </c>
      <c r="B1407" s="23">
        <v>38</v>
      </c>
      <c r="D1407" t="s">
        <v>5960</v>
      </c>
      <c r="E1407" s="23" t="s">
        <v>139</v>
      </c>
    </row>
    <row r="1408" spans="1:5" x14ac:dyDescent="0.25">
      <c r="A1408" t="s">
        <v>1573</v>
      </c>
      <c r="B1408" s="23">
        <v>39</v>
      </c>
      <c r="D1408" t="s">
        <v>5961</v>
      </c>
      <c r="E1408" s="23" t="s">
        <v>139</v>
      </c>
    </row>
    <row r="1409" spans="1:5" x14ac:dyDescent="0.25">
      <c r="A1409" t="s">
        <v>1574</v>
      </c>
      <c r="B1409" s="23">
        <v>40</v>
      </c>
      <c r="D1409" t="s">
        <v>5962</v>
      </c>
      <c r="E1409" s="23" t="s">
        <v>139</v>
      </c>
    </row>
    <row r="1410" spans="1:5" x14ac:dyDescent="0.25">
      <c r="A1410" t="s">
        <v>1575</v>
      </c>
      <c r="B1410" s="23">
        <v>41</v>
      </c>
      <c r="D1410" t="s">
        <v>5963</v>
      </c>
      <c r="E1410" s="23" t="s">
        <v>139</v>
      </c>
    </row>
    <row r="1411" spans="1:5" x14ac:dyDescent="0.25">
      <c r="A1411" t="s">
        <v>1576</v>
      </c>
      <c r="B1411" s="23">
        <v>42</v>
      </c>
      <c r="D1411" t="s">
        <v>5964</v>
      </c>
      <c r="E1411" s="23" t="s">
        <v>139</v>
      </c>
    </row>
    <row r="1412" spans="1:5" x14ac:dyDescent="0.25">
      <c r="A1412" t="s">
        <v>1577</v>
      </c>
      <c r="B1412" s="23">
        <v>43</v>
      </c>
      <c r="D1412" t="s">
        <v>5965</v>
      </c>
      <c r="E1412" s="23" t="s">
        <v>139</v>
      </c>
    </row>
    <row r="1413" spans="1:5" x14ac:dyDescent="0.25">
      <c r="A1413" t="s">
        <v>1578</v>
      </c>
      <c r="B1413" s="23">
        <v>44</v>
      </c>
      <c r="D1413" t="s">
        <v>5966</v>
      </c>
      <c r="E1413" s="23" t="s">
        <v>139</v>
      </c>
    </row>
    <row r="1414" spans="1:5" x14ac:dyDescent="0.25">
      <c r="A1414" t="s">
        <v>1579</v>
      </c>
      <c r="B1414" s="23">
        <v>45</v>
      </c>
      <c r="D1414" t="s">
        <v>5967</v>
      </c>
      <c r="E1414" s="23" t="s">
        <v>139</v>
      </c>
    </row>
    <row r="1415" spans="1:5" x14ac:dyDescent="0.25">
      <c r="A1415" t="s">
        <v>1580</v>
      </c>
      <c r="B1415" s="23">
        <v>46</v>
      </c>
      <c r="D1415" t="s">
        <v>5968</v>
      </c>
      <c r="E1415" s="23" t="s">
        <v>139</v>
      </c>
    </row>
    <row r="1416" spans="1:5" x14ac:dyDescent="0.25">
      <c r="A1416" t="s">
        <v>1581</v>
      </c>
      <c r="B1416" s="23">
        <v>47</v>
      </c>
      <c r="D1416" t="s">
        <v>5969</v>
      </c>
      <c r="E1416" s="23" t="s">
        <v>139</v>
      </c>
    </row>
    <row r="1417" spans="1:5" x14ac:dyDescent="0.25">
      <c r="A1417" t="s">
        <v>1582</v>
      </c>
      <c r="B1417" s="23">
        <v>48</v>
      </c>
      <c r="D1417" t="s">
        <v>5970</v>
      </c>
      <c r="E1417" s="23" t="s">
        <v>139</v>
      </c>
    </row>
    <row r="1418" spans="1:5" x14ac:dyDescent="0.25">
      <c r="A1418" t="s">
        <v>1583</v>
      </c>
      <c r="B1418" s="23">
        <v>49</v>
      </c>
      <c r="D1418" t="s">
        <v>5971</v>
      </c>
      <c r="E1418" s="23" t="s">
        <v>139</v>
      </c>
    </row>
    <row r="1419" spans="1:5" x14ac:dyDescent="0.25">
      <c r="A1419" t="s">
        <v>1584</v>
      </c>
      <c r="B1419" s="23">
        <v>50</v>
      </c>
      <c r="D1419" t="s">
        <v>5972</v>
      </c>
      <c r="E1419" s="23" t="s">
        <v>139</v>
      </c>
    </row>
    <row r="1420" spans="1:5" x14ac:dyDescent="0.25">
      <c r="A1420" t="s">
        <v>1585</v>
      </c>
      <c r="B1420" s="23">
        <v>51</v>
      </c>
      <c r="D1420" t="s">
        <v>5973</v>
      </c>
      <c r="E1420" s="23" t="s">
        <v>139</v>
      </c>
    </row>
    <row r="1421" spans="1:5" x14ac:dyDescent="0.25">
      <c r="A1421" t="s">
        <v>1586</v>
      </c>
      <c r="B1421" s="23">
        <v>52</v>
      </c>
      <c r="D1421" t="s">
        <v>5974</v>
      </c>
      <c r="E1421" s="23" t="s">
        <v>139</v>
      </c>
    </row>
    <row r="1422" spans="1:5" x14ac:dyDescent="0.25">
      <c r="A1422" t="s">
        <v>1587</v>
      </c>
      <c r="B1422" s="23">
        <v>53</v>
      </c>
      <c r="D1422" t="s">
        <v>5975</v>
      </c>
      <c r="E1422" s="23" t="s">
        <v>139</v>
      </c>
    </row>
    <row r="1423" spans="1:5" x14ac:dyDescent="0.25">
      <c r="A1423" t="s">
        <v>1588</v>
      </c>
      <c r="B1423" s="23">
        <v>54</v>
      </c>
      <c r="D1423" t="s">
        <v>5976</v>
      </c>
      <c r="E1423" s="23" t="s">
        <v>139</v>
      </c>
    </row>
    <row r="1424" spans="1:5" x14ac:dyDescent="0.25">
      <c r="A1424" t="s">
        <v>1589</v>
      </c>
      <c r="B1424" s="23">
        <v>55</v>
      </c>
      <c r="D1424" t="s">
        <v>5977</v>
      </c>
      <c r="E1424" s="23" t="s">
        <v>139</v>
      </c>
    </row>
    <row r="1425" spans="1:5" x14ac:dyDescent="0.25">
      <c r="A1425" t="s">
        <v>1590</v>
      </c>
      <c r="B1425" s="23">
        <v>56</v>
      </c>
      <c r="D1425" t="s">
        <v>5978</v>
      </c>
      <c r="E1425" s="23" t="s">
        <v>139</v>
      </c>
    </row>
    <row r="1426" spans="1:5" x14ac:dyDescent="0.25">
      <c r="A1426" t="s">
        <v>1591</v>
      </c>
      <c r="B1426" s="23">
        <v>57</v>
      </c>
      <c r="D1426" t="s">
        <v>5979</v>
      </c>
      <c r="E1426" s="23" t="s">
        <v>139</v>
      </c>
    </row>
    <row r="1427" spans="1:5" x14ac:dyDescent="0.25">
      <c r="A1427" t="s">
        <v>1592</v>
      </c>
      <c r="B1427" s="23">
        <v>58</v>
      </c>
      <c r="D1427" t="s">
        <v>5980</v>
      </c>
      <c r="E1427" s="23" t="s">
        <v>139</v>
      </c>
    </row>
    <row r="1428" spans="1:5" x14ac:dyDescent="0.25">
      <c r="A1428" t="s">
        <v>1593</v>
      </c>
      <c r="B1428" s="23">
        <v>59</v>
      </c>
      <c r="D1428" t="s">
        <v>5981</v>
      </c>
      <c r="E1428" s="23" t="s">
        <v>139</v>
      </c>
    </row>
    <row r="1429" spans="1:5" x14ac:dyDescent="0.25">
      <c r="A1429" t="s">
        <v>1594</v>
      </c>
      <c r="B1429" s="23">
        <v>60</v>
      </c>
      <c r="D1429" t="s">
        <v>5982</v>
      </c>
      <c r="E1429" s="23" t="s">
        <v>139</v>
      </c>
    </row>
    <row r="1430" spans="1:5" x14ac:dyDescent="0.25">
      <c r="A1430" t="s">
        <v>1595</v>
      </c>
      <c r="B1430" s="23">
        <v>61</v>
      </c>
      <c r="D1430" t="s">
        <v>5983</v>
      </c>
      <c r="E1430" s="23" t="s">
        <v>18</v>
      </c>
    </row>
    <row r="1431" spans="1:5" x14ac:dyDescent="0.25">
      <c r="A1431" t="s">
        <v>1596</v>
      </c>
      <c r="B1431" s="23">
        <v>62</v>
      </c>
      <c r="D1431" t="s">
        <v>5984</v>
      </c>
      <c r="E1431" s="23" t="s">
        <v>18</v>
      </c>
    </row>
    <row r="1432" spans="1:5" x14ac:dyDescent="0.25">
      <c r="A1432" t="s">
        <v>1597</v>
      </c>
      <c r="B1432" s="23">
        <v>64</v>
      </c>
      <c r="D1432" t="s">
        <v>5985</v>
      </c>
      <c r="E1432" s="23" t="s">
        <v>18</v>
      </c>
    </row>
    <row r="1433" spans="1:5" x14ac:dyDescent="0.25">
      <c r="A1433" t="s">
        <v>1598</v>
      </c>
      <c r="B1433" s="23">
        <v>66</v>
      </c>
      <c r="D1433" t="s">
        <v>5986</v>
      </c>
      <c r="E1433" s="23" t="s">
        <v>18</v>
      </c>
    </row>
    <row r="1434" spans="1:5" x14ac:dyDescent="0.25">
      <c r="A1434" t="s">
        <v>1599</v>
      </c>
      <c r="B1434" s="23">
        <v>68</v>
      </c>
      <c r="D1434" t="s">
        <v>5987</v>
      </c>
      <c r="E1434" s="23" t="s">
        <v>18</v>
      </c>
    </row>
    <row r="1435" spans="1:5" x14ac:dyDescent="0.25">
      <c r="A1435" t="s">
        <v>1600</v>
      </c>
      <c r="B1435" s="23">
        <v>70</v>
      </c>
      <c r="D1435" t="s">
        <v>5988</v>
      </c>
      <c r="E1435" s="23" t="s">
        <v>18</v>
      </c>
    </row>
    <row r="1436" spans="1:5" x14ac:dyDescent="0.25">
      <c r="A1436" t="s">
        <v>1601</v>
      </c>
      <c r="B1436" s="23">
        <v>70</v>
      </c>
      <c r="D1436" t="s">
        <v>5989</v>
      </c>
      <c r="E1436" s="23" t="s">
        <v>18</v>
      </c>
    </row>
    <row r="1437" spans="1:5" x14ac:dyDescent="0.25">
      <c r="A1437" t="s">
        <v>1602</v>
      </c>
      <c r="B1437" s="23">
        <v>70</v>
      </c>
      <c r="D1437" t="s">
        <v>5990</v>
      </c>
      <c r="E1437" s="23" t="s">
        <v>18</v>
      </c>
    </row>
    <row r="1438" spans="1:5" x14ac:dyDescent="0.25">
      <c r="A1438" t="s">
        <v>1603</v>
      </c>
      <c r="B1438" s="23">
        <v>70</v>
      </c>
      <c r="D1438" t="s">
        <v>5991</v>
      </c>
      <c r="E1438" s="23" t="s">
        <v>18</v>
      </c>
    </row>
    <row r="1439" spans="1:5" x14ac:dyDescent="0.25">
      <c r="A1439" t="s">
        <v>1604</v>
      </c>
      <c r="B1439" s="23">
        <v>70</v>
      </c>
      <c r="D1439" t="s">
        <v>5992</v>
      </c>
      <c r="E1439" s="23" t="s">
        <v>18</v>
      </c>
    </row>
    <row r="1440" spans="1:5" x14ac:dyDescent="0.25">
      <c r="A1440" t="s">
        <v>1605</v>
      </c>
      <c r="B1440" s="23">
        <v>70</v>
      </c>
      <c r="D1440" t="s">
        <v>5993</v>
      </c>
      <c r="E1440" s="23" t="s">
        <v>18</v>
      </c>
    </row>
    <row r="1441" spans="1:5" x14ac:dyDescent="0.25">
      <c r="A1441" t="s">
        <v>1606</v>
      </c>
      <c r="B1441" s="23">
        <v>70</v>
      </c>
      <c r="D1441" t="s">
        <v>5994</v>
      </c>
      <c r="E1441" s="23" t="s">
        <v>18</v>
      </c>
    </row>
    <row r="1442" spans="1:5" x14ac:dyDescent="0.25">
      <c r="A1442" t="s">
        <v>1607</v>
      </c>
      <c r="B1442" s="23">
        <v>70</v>
      </c>
      <c r="D1442" t="s">
        <v>5995</v>
      </c>
      <c r="E1442" s="23" t="s">
        <v>18</v>
      </c>
    </row>
    <row r="1443" spans="1:5" x14ac:dyDescent="0.25">
      <c r="A1443" t="s">
        <v>1608</v>
      </c>
      <c r="B1443" s="23">
        <v>70</v>
      </c>
      <c r="D1443" t="s">
        <v>5996</v>
      </c>
      <c r="E1443" s="23" t="s">
        <v>18</v>
      </c>
    </row>
    <row r="1444" spans="1:5" x14ac:dyDescent="0.25">
      <c r="A1444" t="s">
        <v>1609</v>
      </c>
      <c r="B1444" s="23">
        <v>70</v>
      </c>
      <c r="D1444" t="s">
        <v>5997</v>
      </c>
      <c r="E1444" s="23" t="s">
        <v>18</v>
      </c>
    </row>
    <row r="1445" spans="1:5" x14ac:dyDescent="0.25">
      <c r="A1445" t="s">
        <v>1610</v>
      </c>
      <c r="B1445" s="23">
        <v>70</v>
      </c>
      <c r="D1445" t="s">
        <v>5998</v>
      </c>
      <c r="E1445" s="23" t="s">
        <v>18</v>
      </c>
    </row>
    <row r="1446" spans="1:5" x14ac:dyDescent="0.25">
      <c r="A1446" t="s">
        <v>1611</v>
      </c>
      <c r="B1446" s="23">
        <v>70</v>
      </c>
      <c r="D1446" t="s">
        <v>5999</v>
      </c>
      <c r="E1446" s="23" t="s">
        <v>18</v>
      </c>
    </row>
    <row r="1447" spans="1:5" x14ac:dyDescent="0.25">
      <c r="A1447" t="s">
        <v>1612</v>
      </c>
      <c r="B1447" s="23">
        <v>70</v>
      </c>
      <c r="D1447" t="s">
        <v>6000</v>
      </c>
      <c r="E1447" s="23" t="s">
        <v>18</v>
      </c>
    </row>
    <row r="1448" spans="1:5" x14ac:dyDescent="0.25">
      <c r="A1448" t="s">
        <v>1613</v>
      </c>
      <c r="B1448" s="23">
        <v>70</v>
      </c>
      <c r="D1448" t="s">
        <v>6001</v>
      </c>
      <c r="E1448" s="23" t="s">
        <v>18</v>
      </c>
    </row>
    <row r="1449" spans="1:5" x14ac:dyDescent="0.25">
      <c r="A1449" t="s">
        <v>1614</v>
      </c>
      <c r="B1449" s="23">
        <v>70</v>
      </c>
      <c r="D1449" t="s">
        <v>6002</v>
      </c>
      <c r="E1449" s="23" t="s">
        <v>18</v>
      </c>
    </row>
    <row r="1450" spans="1:5" x14ac:dyDescent="0.25">
      <c r="A1450" t="s">
        <v>1615</v>
      </c>
      <c r="B1450" s="23">
        <v>70</v>
      </c>
      <c r="D1450" t="s">
        <v>6003</v>
      </c>
      <c r="E1450" s="23" t="s">
        <v>18</v>
      </c>
    </row>
    <row r="1451" spans="1:5" x14ac:dyDescent="0.25">
      <c r="A1451" t="s">
        <v>1616</v>
      </c>
      <c r="B1451" s="23">
        <v>70</v>
      </c>
      <c r="D1451" t="s">
        <v>6004</v>
      </c>
      <c r="E1451" s="23" t="s">
        <v>18</v>
      </c>
    </row>
    <row r="1452" spans="1:5" x14ac:dyDescent="0.25">
      <c r="A1452" t="s">
        <v>1617</v>
      </c>
      <c r="B1452" s="23">
        <v>70</v>
      </c>
      <c r="D1452" t="s">
        <v>6005</v>
      </c>
      <c r="E1452" s="23" t="s">
        <v>18</v>
      </c>
    </row>
    <row r="1453" spans="1:5" x14ac:dyDescent="0.25">
      <c r="A1453" t="s">
        <v>1618</v>
      </c>
      <c r="B1453" s="23">
        <v>70</v>
      </c>
      <c r="D1453" t="s">
        <v>6006</v>
      </c>
      <c r="E1453" s="23" t="s">
        <v>18</v>
      </c>
    </row>
    <row r="1454" spans="1:5" x14ac:dyDescent="0.25">
      <c r="A1454" t="s">
        <v>1619</v>
      </c>
      <c r="B1454" s="23">
        <v>70</v>
      </c>
      <c r="D1454" t="s">
        <v>6007</v>
      </c>
      <c r="E1454" s="23" t="s">
        <v>18</v>
      </c>
    </row>
    <row r="1455" spans="1:5" x14ac:dyDescent="0.25">
      <c r="A1455" t="s">
        <v>1620</v>
      </c>
      <c r="B1455" s="23">
        <v>70</v>
      </c>
      <c r="D1455" t="s">
        <v>6008</v>
      </c>
      <c r="E1455" s="23" t="s">
        <v>17</v>
      </c>
    </row>
    <row r="1456" spans="1:5" x14ac:dyDescent="0.25">
      <c r="A1456" t="s">
        <v>1621</v>
      </c>
      <c r="B1456" s="23">
        <v>70</v>
      </c>
      <c r="D1456" t="s">
        <v>6009</v>
      </c>
      <c r="E1456" s="23" t="s">
        <v>17</v>
      </c>
    </row>
    <row r="1457" spans="1:5" x14ac:dyDescent="0.25">
      <c r="A1457" t="s">
        <v>1622</v>
      </c>
      <c r="B1457" s="23">
        <v>70</v>
      </c>
      <c r="D1457" t="s">
        <v>6010</v>
      </c>
      <c r="E1457" s="23" t="s">
        <v>17</v>
      </c>
    </row>
    <row r="1458" spans="1:5" x14ac:dyDescent="0.25">
      <c r="A1458" t="s">
        <v>1623</v>
      </c>
      <c r="B1458" s="23">
        <v>70</v>
      </c>
      <c r="D1458" t="s">
        <v>6011</v>
      </c>
      <c r="E1458" s="23" t="s">
        <v>17</v>
      </c>
    </row>
    <row r="1459" spans="1:5" x14ac:dyDescent="0.25">
      <c r="A1459" t="s">
        <v>1624</v>
      </c>
      <c r="B1459" s="23">
        <v>70</v>
      </c>
      <c r="D1459" t="s">
        <v>6012</v>
      </c>
      <c r="E1459" s="23" t="s">
        <v>17</v>
      </c>
    </row>
    <row r="1460" spans="1:5" x14ac:dyDescent="0.25">
      <c r="A1460" t="s">
        <v>1625</v>
      </c>
      <c r="B1460" s="23">
        <v>70</v>
      </c>
      <c r="D1460" t="s">
        <v>6013</v>
      </c>
      <c r="E1460" s="23" t="s">
        <v>17</v>
      </c>
    </row>
    <row r="1461" spans="1:5" x14ac:dyDescent="0.25">
      <c r="A1461" t="s">
        <v>1626</v>
      </c>
      <c r="B1461" s="23">
        <v>70</v>
      </c>
      <c r="D1461" t="s">
        <v>6014</v>
      </c>
      <c r="E1461" s="23" t="s">
        <v>17</v>
      </c>
    </row>
    <row r="1462" spans="1:5" x14ac:dyDescent="0.25">
      <c r="A1462" t="s">
        <v>1627</v>
      </c>
      <c r="B1462" s="23">
        <v>1</v>
      </c>
      <c r="D1462" t="s">
        <v>6015</v>
      </c>
      <c r="E1462" s="23" t="s">
        <v>17</v>
      </c>
    </row>
    <row r="1463" spans="1:5" x14ac:dyDescent="0.25">
      <c r="A1463" t="s">
        <v>1628</v>
      </c>
      <c r="B1463" s="23">
        <v>2</v>
      </c>
      <c r="D1463" t="s">
        <v>6016</v>
      </c>
      <c r="E1463" s="23" t="s">
        <v>17</v>
      </c>
    </row>
    <row r="1464" spans="1:5" x14ac:dyDescent="0.25">
      <c r="A1464" t="s">
        <v>1629</v>
      </c>
      <c r="B1464" s="23">
        <v>3</v>
      </c>
      <c r="D1464" t="s">
        <v>6017</v>
      </c>
      <c r="E1464" s="23" t="s">
        <v>17</v>
      </c>
    </row>
    <row r="1465" spans="1:5" x14ac:dyDescent="0.25">
      <c r="A1465" t="s">
        <v>1630</v>
      </c>
      <c r="B1465" s="23">
        <v>4</v>
      </c>
      <c r="D1465" t="s">
        <v>6018</v>
      </c>
      <c r="E1465" s="23" t="s">
        <v>17</v>
      </c>
    </row>
    <row r="1466" spans="1:5" x14ac:dyDescent="0.25">
      <c r="A1466" t="s">
        <v>1631</v>
      </c>
      <c r="B1466" s="23">
        <v>5</v>
      </c>
      <c r="D1466" t="s">
        <v>6019</v>
      </c>
      <c r="E1466" s="23" t="s">
        <v>17</v>
      </c>
    </row>
    <row r="1467" spans="1:5" x14ac:dyDescent="0.25">
      <c r="A1467" t="s">
        <v>1632</v>
      </c>
      <c r="B1467" s="23">
        <v>6</v>
      </c>
      <c r="D1467" t="s">
        <v>6020</v>
      </c>
      <c r="E1467" s="23" t="s">
        <v>17</v>
      </c>
    </row>
    <row r="1468" spans="1:5" x14ac:dyDescent="0.25">
      <c r="A1468" t="s">
        <v>1633</v>
      </c>
      <c r="B1468" s="23">
        <v>8</v>
      </c>
      <c r="D1468" t="s">
        <v>6021</v>
      </c>
      <c r="E1468" s="23" t="s">
        <v>17</v>
      </c>
    </row>
    <row r="1469" spans="1:5" x14ac:dyDescent="0.25">
      <c r="A1469" t="s">
        <v>1634</v>
      </c>
      <c r="B1469" s="23">
        <v>10</v>
      </c>
      <c r="D1469" t="s">
        <v>6022</v>
      </c>
      <c r="E1469" s="23" t="s">
        <v>17</v>
      </c>
    </row>
    <row r="1470" spans="1:5" x14ac:dyDescent="0.25">
      <c r="A1470" t="s">
        <v>1635</v>
      </c>
      <c r="B1470" s="23">
        <v>12</v>
      </c>
      <c r="D1470" t="s">
        <v>6023</v>
      </c>
      <c r="E1470" s="23" t="s">
        <v>17</v>
      </c>
    </row>
    <row r="1471" spans="1:5" x14ac:dyDescent="0.25">
      <c r="A1471" t="s">
        <v>1636</v>
      </c>
      <c r="B1471" s="23">
        <v>14</v>
      </c>
      <c r="D1471" t="s">
        <v>6024</v>
      </c>
      <c r="E1471" s="23" t="s">
        <v>17</v>
      </c>
    </row>
    <row r="1472" spans="1:5" x14ac:dyDescent="0.25">
      <c r="A1472" t="s">
        <v>1637</v>
      </c>
      <c r="B1472" s="23">
        <v>16</v>
      </c>
      <c r="D1472" t="s">
        <v>6025</v>
      </c>
      <c r="E1472" s="23" t="s">
        <v>17</v>
      </c>
    </row>
    <row r="1473" spans="1:5" x14ac:dyDescent="0.25">
      <c r="A1473" t="s">
        <v>1638</v>
      </c>
      <c r="B1473" s="23">
        <v>18</v>
      </c>
      <c r="D1473" t="s">
        <v>6026</v>
      </c>
      <c r="E1473" s="23" t="s">
        <v>17</v>
      </c>
    </row>
    <row r="1474" spans="1:5" x14ac:dyDescent="0.25">
      <c r="A1474" t="s">
        <v>1639</v>
      </c>
      <c r="B1474" s="23">
        <v>20</v>
      </c>
      <c r="D1474" t="s">
        <v>6027</v>
      </c>
      <c r="E1474" s="23" t="s">
        <v>17</v>
      </c>
    </row>
    <row r="1475" spans="1:5" x14ac:dyDescent="0.25">
      <c r="A1475" t="s">
        <v>1640</v>
      </c>
      <c r="B1475" s="23">
        <v>22</v>
      </c>
      <c r="D1475" t="s">
        <v>6028</v>
      </c>
      <c r="E1475" t="s">
        <v>16</v>
      </c>
    </row>
    <row r="1476" spans="1:5" x14ac:dyDescent="0.25">
      <c r="A1476" t="s">
        <v>1641</v>
      </c>
      <c r="B1476" s="23">
        <v>24</v>
      </c>
      <c r="D1476" t="s">
        <v>6029</v>
      </c>
      <c r="E1476" t="s">
        <v>16</v>
      </c>
    </row>
    <row r="1477" spans="1:5" x14ac:dyDescent="0.25">
      <c r="A1477" t="s">
        <v>1642</v>
      </c>
      <c r="B1477" s="23">
        <v>26</v>
      </c>
      <c r="D1477" t="s">
        <v>6030</v>
      </c>
      <c r="E1477" t="s">
        <v>16</v>
      </c>
    </row>
    <row r="1478" spans="1:5" x14ac:dyDescent="0.25">
      <c r="A1478" t="s">
        <v>1643</v>
      </c>
      <c r="B1478" s="23">
        <v>28</v>
      </c>
      <c r="D1478" t="s">
        <v>6031</v>
      </c>
      <c r="E1478" t="s">
        <v>16</v>
      </c>
    </row>
    <row r="1479" spans="1:5" x14ac:dyDescent="0.25">
      <c r="A1479" t="s">
        <v>1644</v>
      </c>
      <c r="B1479" s="23">
        <v>30</v>
      </c>
      <c r="D1479" t="s">
        <v>6032</v>
      </c>
      <c r="E1479" t="s">
        <v>16</v>
      </c>
    </row>
    <row r="1480" spans="1:5" x14ac:dyDescent="0.25">
      <c r="A1480" t="s">
        <v>1645</v>
      </c>
      <c r="B1480" s="23">
        <v>31</v>
      </c>
      <c r="D1480" t="s">
        <v>6033</v>
      </c>
      <c r="E1480" t="s">
        <v>16</v>
      </c>
    </row>
    <row r="1481" spans="1:5" x14ac:dyDescent="0.25">
      <c r="A1481" t="s">
        <v>1646</v>
      </c>
      <c r="B1481" s="23">
        <v>32</v>
      </c>
      <c r="D1481" t="s">
        <v>6034</v>
      </c>
      <c r="E1481" t="s">
        <v>16</v>
      </c>
    </row>
    <row r="1482" spans="1:5" x14ac:dyDescent="0.25">
      <c r="A1482" t="s">
        <v>1647</v>
      </c>
      <c r="B1482" s="23">
        <v>33</v>
      </c>
      <c r="D1482" t="s">
        <v>6035</v>
      </c>
      <c r="E1482" t="s">
        <v>16</v>
      </c>
    </row>
    <row r="1483" spans="1:5" x14ac:dyDescent="0.25">
      <c r="A1483" t="s">
        <v>1648</v>
      </c>
      <c r="B1483" s="23">
        <v>34</v>
      </c>
      <c r="D1483" t="s">
        <v>6036</v>
      </c>
      <c r="E1483" t="s">
        <v>16</v>
      </c>
    </row>
    <row r="1484" spans="1:5" x14ac:dyDescent="0.25">
      <c r="A1484" t="s">
        <v>1649</v>
      </c>
      <c r="B1484" s="23">
        <v>35</v>
      </c>
      <c r="D1484" t="s">
        <v>6037</v>
      </c>
      <c r="E1484" t="s">
        <v>16</v>
      </c>
    </row>
    <row r="1485" spans="1:5" x14ac:dyDescent="0.25">
      <c r="A1485" t="s">
        <v>1650</v>
      </c>
      <c r="B1485" s="23">
        <v>36</v>
      </c>
      <c r="D1485" t="s">
        <v>6038</v>
      </c>
      <c r="E1485" t="s">
        <v>16</v>
      </c>
    </row>
    <row r="1486" spans="1:5" x14ac:dyDescent="0.25">
      <c r="A1486" t="s">
        <v>1651</v>
      </c>
      <c r="B1486" s="23">
        <v>37</v>
      </c>
      <c r="D1486" t="s">
        <v>6039</v>
      </c>
      <c r="E1486" t="s">
        <v>16</v>
      </c>
    </row>
    <row r="1487" spans="1:5" x14ac:dyDescent="0.25">
      <c r="A1487" t="s">
        <v>1652</v>
      </c>
      <c r="B1487" s="23">
        <v>38</v>
      </c>
      <c r="D1487" t="s">
        <v>6040</v>
      </c>
      <c r="E1487" t="s">
        <v>16</v>
      </c>
    </row>
    <row r="1488" spans="1:5" x14ac:dyDescent="0.25">
      <c r="A1488" t="s">
        <v>1653</v>
      </c>
      <c r="B1488" s="23">
        <v>39</v>
      </c>
      <c r="D1488" t="s">
        <v>6041</v>
      </c>
      <c r="E1488" t="s">
        <v>16</v>
      </c>
    </row>
    <row r="1489" spans="1:5" x14ac:dyDescent="0.25">
      <c r="A1489" t="s">
        <v>1654</v>
      </c>
      <c r="B1489" s="23">
        <v>40</v>
      </c>
      <c r="D1489" t="s">
        <v>6042</v>
      </c>
      <c r="E1489" t="s">
        <v>16</v>
      </c>
    </row>
    <row r="1490" spans="1:5" x14ac:dyDescent="0.25">
      <c r="A1490" t="s">
        <v>1655</v>
      </c>
      <c r="B1490" s="23">
        <v>41</v>
      </c>
      <c r="D1490" t="s">
        <v>6043</v>
      </c>
      <c r="E1490" t="s">
        <v>16</v>
      </c>
    </row>
    <row r="1491" spans="1:5" x14ac:dyDescent="0.25">
      <c r="A1491" t="s">
        <v>1656</v>
      </c>
      <c r="B1491" s="23">
        <v>42</v>
      </c>
      <c r="D1491" t="s">
        <v>6044</v>
      </c>
      <c r="E1491" t="s">
        <v>16</v>
      </c>
    </row>
    <row r="1492" spans="1:5" x14ac:dyDescent="0.25">
      <c r="A1492" t="s">
        <v>1657</v>
      </c>
      <c r="B1492" s="23">
        <v>43</v>
      </c>
      <c r="D1492" t="s">
        <v>6045</v>
      </c>
      <c r="E1492" t="s">
        <v>16</v>
      </c>
    </row>
    <row r="1493" spans="1:5" x14ac:dyDescent="0.25">
      <c r="A1493" t="s">
        <v>1658</v>
      </c>
      <c r="B1493" s="23">
        <v>44</v>
      </c>
      <c r="D1493" t="s">
        <v>6046</v>
      </c>
      <c r="E1493" t="s">
        <v>16</v>
      </c>
    </row>
    <row r="1494" spans="1:5" x14ac:dyDescent="0.25">
      <c r="A1494" t="s">
        <v>1659</v>
      </c>
      <c r="B1494" s="23">
        <v>45</v>
      </c>
      <c r="D1494" t="s">
        <v>6047</v>
      </c>
      <c r="E1494" t="s">
        <v>16</v>
      </c>
    </row>
    <row r="1495" spans="1:5" x14ac:dyDescent="0.25">
      <c r="A1495" t="s">
        <v>1660</v>
      </c>
      <c r="B1495" s="23">
        <v>46</v>
      </c>
      <c r="D1495" t="s">
        <v>6048</v>
      </c>
      <c r="E1495" t="s">
        <v>16</v>
      </c>
    </row>
    <row r="1496" spans="1:5" x14ac:dyDescent="0.25">
      <c r="A1496" t="s">
        <v>1661</v>
      </c>
      <c r="B1496" s="23">
        <v>47</v>
      </c>
      <c r="D1496" t="s">
        <v>6049</v>
      </c>
      <c r="E1496" t="s">
        <v>16</v>
      </c>
    </row>
    <row r="1497" spans="1:5" x14ac:dyDescent="0.25">
      <c r="A1497" t="s">
        <v>1662</v>
      </c>
      <c r="B1497" s="23">
        <v>48</v>
      </c>
      <c r="D1497" t="s">
        <v>6050</v>
      </c>
      <c r="E1497" t="s">
        <v>16</v>
      </c>
    </row>
    <row r="1498" spans="1:5" x14ac:dyDescent="0.25">
      <c r="A1498" t="s">
        <v>1663</v>
      </c>
      <c r="B1498" s="23">
        <v>49</v>
      </c>
      <c r="D1498" t="s">
        <v>6051</v>
      </c>
      <c r="E1498" t="s">
        <v>16</v>
      </c>
    </row>
    <row r="1499" spans="1:5" x14ac:dyDescent="0.25">
      <c r="A1499" t="s">
        <v>1664</v>
      </c>
      <c r="B1499" s="23">
        <v>50</v>
      </c>
      <c r="D1499" t="s">
        <v>6052</v>
      </c>
      <c r="E1499" t="s">
        <v>16</v>
      </c>
    </row>
    <row r="1500" spans="1:5" x14ac:dyDescent="0.25">
      <c r="A1500" t="s">
        <v>1665</v>
      </c>
      <c r="B1500" s="23">
        <v>51</v>
      </c>
      <c r="D1500" t="s">
        <v>6053</v>
      </c>
      <c r="E1500" t="s">
        <v>16</v>
      </c>
    </row>
    <row r="1501" spans="1:5" x14ac:dyDescent="0.25">
      <c r="A1501" t="s">
        <v>1666</v>
      </c>
      <c r="B1501" s="23">
        <v>52</v>
      </c>
      <c r="D1501" t="s">
        <v>6054</v>
      </c>
      <c r="E1501" t="s">
        <v>16</v>
      </c>
    </row>
    <row r="1502" spans="1:5" x14ac:dyDescent="0.25">
      <c r="A1502" t="s">
        <v>1667</v>
      </c>
      <c r="B1502" s="23">
        <v>53</v>
      </c>
      <c r="D1502" t="s">
        <v>6055</v>
      </c>
      <c r="E1502" t="s">
        <v>16</v>
      </c>
    </row>
    <row r="1503" spans="1:5" x14ac:dyDescent="0.25">
      <c r="A1503" t="s">
        <v>1668</v>
      </c>
      <c r="B1503" s="23">
        <v>54</v>
      </c>
      <c r="D1503" t="s">
        <v>6056</v>
      </c>
      <c r="E1503" t="s">
        <v>16</v>
      </c>
    </row>
    <row r="1504" spans="1:5" x14ac:dyDescent="0.25">
      <c r="A1504" t="s">
        <v>1669</v>
      </c>
      <c r="B1504" s="23">
        <v>55</v>
      </c>
      <c r="D1504" t="s">
        <v>6057</v>
      </c>
      <c r="E1504" t="s">
        <v>16</v>
      </c>
    </row>
    <row r="1505" spans="1:5" x14ac:dyDescent="0.25">
      <c r="A1505" t="s">
        <v>1670</v>
      </c>
      <c r="B1505" s="23">
        <v>56</v>
      </c>
      <c r="D1505" t="s">
        <v>6058</v>
      </c>
      <c r="E1505" t="s">
        <v>16</v>
      </c>
    </row>
    <row r="1506" spans="1:5" x14ac:dyDescent="0.25">
      <c r="A1506" t="s">
        <v>1671</v>
      </c>
      <c r="B1506" s="23">
        <v>57</v>
      </c>
      <c r="D1506" t="s">
        <v>6059</v>
      </c>
      <c r="E1506" t="s">
        <v>16</v>
      </c>
    </row>
    <row r="1507" spans="1:5" x14ac:dyDescent="0.25">
      <c r="A1507" t="s">
        <v>1672</v>
      </c>
      <c r="B1507" s="23">
        <v>58</v>
      </c>
      <c r="D1507" t="s">
        <v>6060</v>
      </c>
      <c r="E1507" t="s">
        <v>16</v>
      </c>
    </row>
    <row r="1508" spans="1:5" x14ac:dyDescent="0.25">
      <c r="A1508" t="s">
        <v>1673</v>
      </c>
      <c r="B1508" s="23">
        <v>59</v>
      </c>
      <c r="D1508" t="s">
        <v>6061</v>
      </c>
      <c r="E1508" t="s">
        <v>16</v>
      </c>
    </row>
    <row r="1509" spans="1:5" x14ac:dyDescent="0.25">
      <c r="A1509" t="s">
        <v>1674</v>
      </c>
      <c r="B1509" s="23">
        <v>60</v>
      </c>
      <c r="D1509" t="s">
        <v>6062</v>
      </c>
      <c r="E1509" t="s">
        <v>16</v>
      </c>
    </row>
    <row r="1510" spans="1:5" x14ac:dyDescent="0.25">
      <c r="A1510" t="s">
        <v>1675</v>
      </c>
      <c r="B1510" s="23">
        <v>61</v>
      </c>
      <c r="D1510" t="s">
        <v>6063</v>
      </c>
      <c r="E1510" t="s">
        <v>16</v>
      </c>
    </row>
    <row r="1511" spans="1:5" x14ac:dyDescent="0.25">
      <c r="A1511" t="s">
        <v>1676</v>
      </c>
      <c r="B1511" s="23">
        <v>62</v>
      </c>
      <c r="D1511" t="s">
        <v>6064</v>
      </c>
      <c r="E1511" t="s">
        <v>16</v>
      </c>
    </row>
    <row r="1512" spans="1:5" x14ac:dyDescent="0.25">
      <c r="A1512" t="s">
        <v>1677</v>
      </c>
      <c r="B1512" s="23">
        <v>64</v>
      </c>
      <c r="D1512" t="s">
        <v>6065</v>
      </c>
      <c r="E1512" t="s">
        <v>16</v>
      </c>
    </row>
    <row r="1513" spans="1:5" x14ac:dyDescent="0.25">
      <c r="A1513" t="s">
        <v>1678</v>
      </c>
      <c r="B1513" s="23">
        <v>66</v>
      </c>
      <c r="D1513" t="s">
        <v>6066</v>
      </c>
      <c r="E1513" t="s">
        <v>16</v>
      </c>
    </row>
    <row r="1514" spans="1:5" x14ac:dyDescent="0.25">
      <c r="A1514" t="s">
        <v>1679</v>
      </c>
      <c r="B1514" s="23">
        <v>68</v>
      </c>
      <c r="D1514" t="s">
        <v>6067</v>
      </c>
      <c r="E1514" t="s">
        <v>16</v>
      </c>
    </row>
    <row r="1515" spans="1:5" x14ac:dyDescent="0.25">
      <c r="A1515" t="s">
        <v>1680</v>
      </c>
      <c r="B1515" s="23">
        <v>70</v>
      </c>
      <c r="D1515" t="s">
        <v>6068</v>
      </c>
      <c r="E1515" t="s">
        <v>16</v>
      </c>
    </row>
    <row r="1516" spans="1:5" x14ac:dyDescent="0.25">
      <c r="A1516" t="s">
        <v>1681</v>
      </c>
      <c r="B1516" s="23">
        <v>70</v>
      </c>
      <c r="D1516" t="s">
        <v>6069</v>
      </c>
      <c r="E1516" t="s">
        <v>16</v>
      </c>
    </row>
    <row r="1517" spans="1:5" x14ac:dyDescent="0.25">
      <c r="A1517" t="s">
        <v>1682</v>
      </c>
      <c r="B1517" s="23">
        <v>70</v>
      </c>
      <c r="D1517" t="s">
        <v>6070</v>
      </c>
      <c r="E1517" t="s">
        <v>16</v>
      </c>
    </row>
    <row r="1518" spans="1:5" x14ac:dyDescent="0.25">
      <c r="A1518" t="s">
        <v>1683</v>
      </c>
      <c r="B1518" s="23">
        <v>70</v>
      </c>
      <c r="D1518" t="s">
        <v>6071</v>
      </c>
      <c r="E1518" t="s">
        <v>16</v>
      </c>
    </row>
    <row r="1519" spans="1:5" x14ac:dyDescent="0.25">
      <c r="A1519" t="s">
        <v>1684</v>
      </c>
      <c r="B1519" s="23">
        <v>70</v>
      </c>
      <c r="D1519" t="s">
        <v>6072</v>
      </c>
      <c r="E1519" t="s">
        <v>16</v>
      </c>
    </row>
    <row r="1520" spans="1:5" x14ac:dyDescent="0.25">
      <c r="A1520" t="s">
        <v>1685</v>
      </c>
      <c r="B1520" s="23">
        <v>70</v>
      </c>
      <c r="D1520" t="s">
        <v>6073</v>
      </c>
      <c r="E1520" t="s">
        <v>16</v>
      </c>
    </row>
    <row r="1521" spans="1:5" x14ac:dyDescent="0.25">
      <c r="A1521" t="s">
        <v>1686</v>
      </c>
      <c r="B1521" s="23">
        <v>70</v>
      </c>
      <c r="D1521" t="s">
        <v>6074</v>
      </c>
      <c r="E1521" t="s">
        <v>16</v>
      </c>
    </row>
    <row r="1522" spans="1:5" x14ac:dyDescent="0.25">
      <c r="A1522" t="s">
        <v>1687</v>
      </c>
      <c r="B1522" s="23">
        <v>70</v>
      </c>
      <c r="D1522" t="s">
        <v>6075</v>
      </c>
      <c r="E1522" t="s">
        <v>16</v>
      </c>
    </row>
    <row r="1523" spans="1:5" x14ac:dyDescent="0.25">
      <c r="A1523" t="s">
        <v>1688</v>
      </c>
      <c r="B1523" s="23">
        <v>70</v>
      </c>
      <c r="D1523" t="s">
        <v>6076</v>
      </c>
      <c r="E1523" t="s">
        <v>16</v>
      </c>
    </row>
    <row r="1524" spans="1:5" x14ac:dyDescent="0.25">
      <c r="A1524" t="s">
        <v>1689</v>
      </c>
      <c r="B1524" s="23">
        <v>70</v>
      </c>
      <c r="D1524" t="s">
        <v>6077</v>
      </c>
      <c r="E1524" t="s">
        <v>16</v>
      </c>
    </row>
    <row r="1525" spans="1:5" x14ac:dyDescent="0.25">
      <c r="A1525" t="s">
        <v>1690</v>
      </c>
      <c r="B1525" s="23">
        <v>70</v>
      </c>
      <c r="D1525" t="s">
        <v>6078</v>
      </c>
      <c r="E1525" t="s">
        <v>16</v>
      </c>
    </row>
    <row r="1526" spans="1:5" x14ac:dyDescent="0.25">
      <c r="A1526" t="s">
        <v>1691</v>
      </c>
      <c r="B1526" s="23">
        <v>70</v>
      </c>
      <c r="D1526" t="s">
        <v>6079</v>
      </c>
      <c r="E1526" t="s">
        <v>16</v>
      </c>
    </row>
    <row r="1527" spans="1:5" x14ac:dyDescent="0.25">
      <c r="A1527" t="s">
        <v>1692</v>
      </c>
      <c r="B1527" s="23">
        <v>70</v>
      </c>
      <c r="D1527" t="s">
        <v>6080</v>
      </c>
      <c r="E1527" t="s">
        <v>16</v>
      </c>
    </row>
    <row r="1528" spans="1:5" x14ac:dyDescent="0.25">
      <c r="A1528" t="s">
        <v>1693</v>
      </c>
      <c r="B1528" s="23">
        <v>70</v>
      </c>
      <c r="D1528" t="s">
        <v>6081</v>
      </c>
      <c r="E1528" t="s">
        <v>16</v>
      </c>
    </row>
    <row r="1529" spans="1:5" x14ac:dyDescent="0.25">
      <c r="A1529" t="s">
        <v>1694</v>
      </c>
      <c r="B1529" s="23">
        <v>70</v>
      </c>
      <c r="D1529" t="s">
        <v>6082</v>
      </c>
      <c r="E1529" t="s">
        <v>16</v>
      </c>
    </row>
    <row r="1530" spans="1:5" x14ac:dyDescent="0.25">
      <c r="A1530" t="s">
        <v>1695</v>
      </c>
      <c r="B1530" s="23">
        <v>70</v>
      </c>
      <c r="D1530" t="s">
        <v>6083</v>
      </c>
      <c r="E1530" t="s">
        <v>16</v>
      </c>
    </row>
    <row r="1531" spans="1:5" x14ac:dyDescent="0.25">
      <c r="A1531" t="s">
        <v>1696</v>
      </c>
      <c r="B1531" s="23">
        <v>70</v>
      </c>
      <c r="D1531" t="s">
        <v>6084</v>
      </c>
      <c r="E1531" t="s">
        <v>16</v>
      </c>
    </row>
    <row r="1532" spans="1:5" x14ac:dyDescent="0.25">
      <c r="A1532" t="s">
        <v>1697</v>
      </c>
      <c r="B1532" s="23">
        <v>70</v>
      </c>
      <c r="D1532" t="s">
        <v>6085</v>
      </c>
      <c r="E1532" t="s">
        <v>16</v>
      </c>
    </row>
    <row r="1533" spans="1:5" x14ac:dyDescent="0.25">
      <c r="A1533" t="s">
        <v>1698</v>
      </c>
      <c r="B1533" s="23">
        <v>70</v>
      </c>
      <c r="D1533" t="s">
        <v>6086</v>
      </c>
      <c r="E1533" t="s">
        <v>16</v>
      </c>
    </row>
    <row r="1534" spans="1:5" x14ac:dyDescent="0.25">
      <c r="A1534" t="s">
        <v>1699</v>
      </c>
      <c r="B1534" s="23">
        <v>70</v>
      </c>
      <c r="D1534" t="s">
        <v>6087</v>
      </c>
      <c r="E1534" t="s">
        <v>16</v>
      </c>
    </row>
    <row r="1535" spans="1:5" x14ac:dyDescent="0.25">
      <c r="A1535" t="s">
        <v>1700</v>
      </c>
      <c r="B1535" s="23">
        <v>70</v>
      </c>
      <c r="D1535" t="s">
        <v>6088</v>
      </c>
      <c r="E1535" t="s">
        <v>16</v>
      </c>
    </row>
    <row r="1536" spans="1:5" x14ac:dyDescent="0.25">
      <c r="A1536" t="s">
        <v>1701</v>
      </c>
      <c r="B1536" s="23">
        <v>70</v>
      </c>
      <c r="D1536" t="s">
        <v>6089</v>
      </c>
      <c r="E1536" t="s">
        <v>16</v>
      </c>
    </row>
    <row r="1537" spans="1:5" x14ac:dyDescent="0.25">
      <c r="A1537" t="s">
        <v>1702</v>
      </c>
      <c r="B1537" s="23">
        <v>70</v>
      </c>
      <c r="D1537" t="s">
        <v>6090</v>
      </c>
      <c r="E1537" t="s">
        <v>16</v>
      </c>
    </row>
    <row r="1538" spans="1:5" x14ac:dyDescent="0.25">
      <c r="A1538" t="s">
        <v>1703</v>
      </c>
      <c r="B1538" s="23">
        <v>70</v>
      </c>
      <c r="D1538" t="s">
        <v>6091</v>
      </c>
      <c r="E1538" t="s">
        <v>16</v>
      </c>
    </row>
    <row r="1539" spans="1:5" x14ac:dyDescent="0.25">
      <c r="A1539" t="s">
        <v>1704</v>
      </c>
      <c r="B1539" s="23">
        <v>70</v>
      </c>
      <c r="D1539" t="s">
        <v>6092</v>
      </c>
      <c r="E1539" t="s">
        <v>16</v>
      </c>
    </row>
    <row r="1540" spans="1:5" x14ac:dyDescent="0.25">
      <c r="A1540" t="s">
        <v>1705</v>
      </c>
      <c r="B1540" s="23">
        <v>70</v>
      </c>
      <c r="D1540" t="s">
        <v>6093</v>
      </c>
      <c r="E1540" t="s">
        <v>16</v>
      </c>
    </row>
    <row r="1541" spans="1:5" x14ac:dyDescent="0.25">
      <c r="A1541" t="s">
        <v>1706</v>
      </c>
      <c r="B1541" s="23">
        <v>70</v>
      </c>
      <c r="D1541" t="s">
        <v>6094</v>
      </c>
      <c r="E1541" t="s">
        <v>16</v>
      </c>
    </row>
    <row r="1542" spans="1:5" x14ac:dyDescent="0.25">
      <c r="A1542" t="s">
        <v>1707</v>
      </c>
      <c r="B1542" s="23">
        <v>1</v>
      </c>
      <c r="D1542" t="s">
        <v>6095</v>
      </c>
      <c r="E1542" t="s">
        <v>16</v>
      </c>
    </row>
    <row r="1543" spans="1:5" x14ac:dyDescent="0.25">
      <c r="A1543" t="s">
        <v>1708</v>
      </c>
      <c r="B1543" s="23">
        <v>2</v>
      </c>
      <c r="D1543" t="s">
        <v>6096</v>
      </c>
      <c r="E1543" t="s">
        <v>16</v>
      </c>
    </row>
    <row r="1544" spans="1:5" x14ac:dyDescent="0.25">
      <c r="A1544" t="s">
        <v>1709</v>
      </c>
      <c r="B1544" s="23">
        <v>3</v>
      </c>
      <c r="D1544" t="s">
        <v>6097</v>
      </c>
      <c r="E1544" t="s">
        <v>16</v>
      </c>
    </row>
    <row r="1545" spans="1:5" x14ac:dyDescent="0.25">
      <c r="A1545" t="s">
        <v>1710</v>
      </c>
      <c r="B1545" s="23">
        <v>4</v>
      </c>
      <c r="D1545" t="s">
        <v>6098</v>
      </c>
      <c r="E1545" t="s">
        <v>16</v>
      </c>
    </row>
    <row r="1546" spans="1:5" x14ac:dyDescent="0.25">
      <c r="A1546" t="s">
        <v>1711</v>
      </c>
      <c r="B1546" s="23">
        <v>5</v>
      </c>
      <c r="D1546" t="s">
        <v>6099</v>
      </c>
      <c r="E1546" t="s">
        <v>16</v>
      </c>
    </row>
    <row r="1547" spans="1:5" x14ac:dyDescent="0.25">
      <c r="A1547" t="s">
        <v>1712</v>
      </c>
      <c r="B1547" s="23">
        <v>6</v>
      </c>
      <c r="D1547" t="s">
        <v>6100</v>
      </c>
      <c r="E1547" t="s">
        <v>16</v>
      </c>
    </row>
    <row r="1548" spans="1:5" x14ac:dyDescent="0.25">
      <c r="A1548" t="s">
        <v>1713</v>
      </c>
      <c r="B1548" s="23">
        <v>7</v>
      </c>
      <c r="D1548" t="s">
        <v>6101</v>
      </c>
      <c r="E1548" t="s">
        <v>16</v>
      </c>
    </row>
    <row r="1549" spans="1:5" x14ac:dyDescent="0.25">
      <c r="A1549" t="s">
        <v>1714</v>
      </c>
      <c r="B1549" s="23">
        <v>8</v>
      </c>
      <c r="D1549" t="s">
        <v>6102</v>
      </c>
      <c r="E1549" t="s">
        <v>16</v>
      </c>
    </row>
    <row r="1550" spans="1:5" x14ac:dyDescent="0.25">
      <c r="A1550" t="s">
        <v>1715</v>
      </c>
      <c r="B1550" s="23">
        <v>9</v>
      </c>
      <c r="D1550" t="s">
        <v>6103</v>
      </c>
      <c r="E1550" t="s">
        <v>16</v>
      </c>
    </row>
    <row r="1551" spans="1:5" x14ac:dyDescent="0.25">
      <c r="A1551" t="s">
        <v>1716</v>
      </c>
      <c r="B1551" s="23">
        <v>10</v>
      </c>
      <c r="D1551" t="s">
        <v>6104</v>
      </c>
      <c r="E1551" t="s">
        <v>16</v>
      </c>
    </row>
    <row r="1552" spans="1:5" x14ac:dyDescent="0.25">
      <c r="A1552" t="s">
        <v>1717</v>
      </c>
      <c r="B1552" s="23">
        <v>11</v>
      </c>
      <c r="D1552" t="s">
        <v>6105</v>
      </c>
      <c r="E1552" t="s">
        <v>16</v>
      </c>
    </row>
    <row r="1553" spans="1:5" x14ac:dyDescent="0.25">
      <c r="A1553" t="s">
        <v>1718</v>
      </c>
      <c r="B1553" s="23">
        <v>12</v>
      </c>
      <c r="D1553" t="s">
        <v>6106</v>
      </c>
      <c r="E1553" t="s">
        <v>16</v>
      </c>
    </row>
    <row r="1554" spans="1:5" x14ac:dyDescent="0.25">
      <c r="A1554" t="s">
        <v>1719</v>
      </c>
      <c r="B1554" s="23">
        <v>13</v>
      </c>
      <c r="D1554" t="s">
        <v>6107</v>
      </c>
      <c r="E1554" t="s">
        <v>16</v>
      </c>
    </row>
    <row r="1555" spans="1:5" x14ac:dyDescent="0.25">
      <c r="A1555" t="s">
        <v>1720</v>
      </c>
      <c r="B1555" s="23">
        <v>14</v>
      </c>
      <c r="D1555" t="s">
        <v>6108</v>
      </c>
      <c r="E1555" t="s">
        <v>16</v>
      </c>
    </row>
    <row r="1556" spans="1:5" x14ac:dyDescent="0.25">
      <c r="A1556" t="s">
        <v>1721</v>
      </c>
      <c r="B1556" s="23">
        <v>15</v>
      </c>
      <c r="D1556" t="s">
        <v>6109</v>
      </c>
      <c r="E1556" t="s">
        <v>16</v>
      </c>
    </row>
    <row r="1557" spans="1:5" x14ac:dyDescent="0.25">
      <c r="A1557" t="s">
        <v>1722</v>
      </c>
      <c r="B1557" s="23">
        <v>16</v>
      </c>
      <c r="D1557" t="s">
        <v>6110</v>
      </c>
      <c r="E1557" t="s">
        <v>16</v>
      </c>
    </row>
    <row r="1558" spans="1:5" x14ac:dyDescent="0.25">
      <c r="A1558" t="s">
        <v>1723</v>
      </c>
      <c r="B1558" s="23">
        <v>18</v>
      </c>
      <c r="D1558" t="s">
        <v>6111</v>
      </c>
      <c r="E1558" t="s">
        <v>16</v>
      </c>
    </row>
    <row r="1559" spans="1:5" x14ac:dyDescent="0.25">
      <c r="A1559" t="s">
        <v>1724</v>
      </c>
      <c r="B1559" s="23">
        <v>20</v>
      </c>
      <c r="D1559" t="s">
        <v>6112</v>
      </c>
      <c r="E1559" t="s">
        <v>16</v>
      </c>
    </row>
    <row r="1560" spans="1:5" x14ac:dyDescent="0.25">
      <c r="A1560" t="s">
        <v>1725</v>
      </c>
      <c r="B1560" s="23">
        <v>22</v>
      </c>
      <c r="D1560" t="s">
        <v>6113</v>
      </c>
      <c r="E1560" t="s">
        <v>16</v>
      </c>
    </row>
    <row r="1561" spans="1:5" x14ac:dyDescent="0.25">
      <c r="A1561" t="s">
        <v>1726</v>
      </c>
      <c r="B1561" s="23">
        <v>24</v>
      </c>
      <c r="D1561" t="s">
        <v>6114</v>
      </c>
      <c r="E1561" t="s">
        <v>16</v>
      </c>
    </row>
    <row r="1562" spans="1:5" x14ac:dyDescent="0.25">
      <c r="A1562" t="s">
        <v>1727</v>
      </c>
      <c r="B1562" s="23">
        <v>25</v>
      </c>
      <c r="D1562" t="s">
        <v>6115</v>
      </c>
      <c r="E1562" t="s">
        <v>16</v>
      </c>
    </row>
    <row r="1563" spans="1:5" x14ac:dyDescent="0.25">
      <c r="A1563" t="s">
        <v>1728</v>
      </c>
      <c r="B1563" s="23">
        <v>26</v>
      </c>
      <c r="D1563" t="s">
        <v>6116</v>
      </c>
      <c r="E1563" t="s">
        <v>16</v>
      </c>
    </row>
    <row r="1564" spans="1:5" x14ac:dyDescent="0.25">
      <c r="A1564" t="s">
        <v>1729</v>
      </c>
      <c r="B1564" s="23">
        <v>27</v>
      </c>
      <c r="D1564" t="s">
        <v>6117</v>
      </c>
      <c r="E1564" t="s">
        <v>16</v>
      </c>
    </row>
    <row r="1565" spans="1:5" x14ac:dyDescent="0.25">
      <c r="A1565" t="s">
        <v>1730</v>
      </c>
      <c r="B1565" s="23">
        <v>28</v>
      </c>
      <c r="D1565" t="s">
        <v>6118</v>
      </c>
      <c r="E1565" t="s">
        <v>16</v>
      </c>
    </row>
    <row r="1566" spans="1:5" x14ac:dyDescent="0.25">
      <c r="A1566" t="s">
        <v>1731</v>
      </c>
      <c r="B1566" s="23">
        <v>29</v>
      </c>
      <c r="D1566" t="s">
        <v>6119</v>
      </c>
      <c r="E1566" t="s">
        <v>16</v>
      </c>
    </row>
    <row r="1567" spans="1:5" x14ac:dyDescent="0.25">
      <c r="A1567" t="s">
        <v>1732</v>
      </c>
      <c r="B1567" s="23">
        <v>30</v>
      </c>
      <c r="D1567" t="s">
        <v>6120</v>
      </c>
      <c r="E1567" t="s">
        <v>16</v>
      </c>
    </row>
    <row r="1568" spans="1:5" x14ac:dyDescent="0.25">
      <c r="A1568" t="s">
        <v>1733</v>
      </c>
      <c r="B1568" s="23">
        <v>31</v>
      </c>
      <c r="D1568" t="s">
        <v>6121</v>
      </c>
      <c r="E1568" t="s">
        <v>16</v>
      </c>
    </row>
    <row r="1569" spans="1:5" x14ac:dyDescent="0.25">
      <c r="A1569" t="s">
        <v>1734</v>
      </c>
      <c r="B1569" s="23">
        <v>32</v>
      </c>
      <c r="D1569" t="s">
        <v>6122</v>
      </c>
      <c r="E1569" t="s">
        <v>16</v>
      </c>
    </row>
    <row r="1570" spans="1:5" x14ac:dyDescent="0.25">
      <c r="A1570" t="s">
        <v>1735</v>
      </c>
      <c r="B1570" s="23">
        <v>33</v>
      </c>
      <c r="D1570" t="s">
        <v>6123</v>
      </c>
      <c r="E1570" t="s">
        <v>16</v>
      </c>
    </row>
    <row r="1571" spans="1:5" x14ac:dyDescent="0.25">
      <c r="A1571" t="s">
        <v>1736</v>
      </c>
      <c r="B1571" s="23">
        <v>34</v>
      </c>
      <c r="D1571" t="s">
        <v>6124</v>
      </c>
      <c r="E1571" t="s">
        <v>16</v>
      </c>
    </row>
    <row r="1572" spans="1:5" x14ac:dyDescent="0.25">
      <c r="A1572" t="s">
        <v>1737</v>
      </c>
      <c r="B1572" s="23">
        <v>35</v>
      </c>
      <c r="D1572" t="s">
        <v>6125</v>
      </c>
      <c r="E1572" t="s">
        <v>16</v>
      </c>
    </row>
    <row r="1573" spans="1:5" x14ac:dyDescent="0.25">
      <c r="A1573" t="s">
        <v>1738</v>
      </c>
      <c r="B1573" s="23">
        <v>36</v>
      </c>
      <c r="D1573" t="s">
        <v>6126</v>
      </c>
      <c r="E1573" t="s">
        <v>16</v>
      </c>
    </row>
    <row r="1574" spans="1:5" x14ac:dyDescent="0.25">
      <c r="A1574" t="s">
        <v>1739</v>
      </c>
      <c r="B1574" s="23">
        <v>37</v>
      </c>
      <c r="D1574" t="s">
        <v>6127</v>
      </c>
      <c r="E1574" t="s">
        <v>16</v>
      </c>
    </row>
    <row r="1575" spans="1:5" x14ac:dyDescent="0.25">
      <c r="A1575" t="s">
        <v>1740</v>
      </c>
      <c r="B1575" s="23">
        <v>38</v>
      </c>
      <c r="D1575" t="s">
        <v>6128</v>
      </c>
      <c r="E1575" t="s">
        <v>16</v>
      </c>
    </row>
    <row r="1576" spans="1:5" x14ac:dyDescent="0.25">
      <c r="A1576" t="s">
        <v>1741</v>
      </c>
      <c r="B1576" s="23">
        <v>39</v>
      </c>
      <c r="D1576" t="s">
        <v>6129</v>
      </c>
      <c r="E1576" t="s">
        <v>16</v>
      </c>
    </row>
    <row r="1577" spans="1:5" x14ac:dyDescent="0.25">
      <c r="A1577" t="s">
        <v>1742</v>
      </c>
      <c r="B1577" s="23">
        <v>40</v>
      </c>
      <c r="D1577" t="s">
        <v>6130</v>
      </c>
      <c r="E1577" t="s">
        <v>16</v>
      </c>
    </row>
    <row r="1578" spans="1:5" x14ac:dyDescent="0.25">
      <c r="A1578" t="s">
        <v>1743</v>
      </c>
      <c r="B1578" s="23">
        <v>41</v>
      </c>
      <c r="D1578" t="s">
        <v>6131</v>
      </c>
      <c r="E1578" t="s">
        <v>16</v>
      </c>
    </row>
    <row r="1579" spans="1:5" x14ac:dyDescent="0.25">
      <c r="A1579" t="s">
        <v>1744</v>
      </c>
      <c r="B1579" s="23">
        <v>42</v>
      </c>
      <c r="D1579" t="s">
        <v>6132</v>
      </c>
      <c r="E1579" t="s">
        <v>16</v>
      </c>
    </row>
    <row r="1580" spans="1:5" x14ac:dyDescent="0.25">
      <c r="A1580" t="s">
        <v>1745</v>
      </c>
      <c r="B1580" s="23">
        <v>43</v>
      </c>
      <c r="D1580" t="s">
        <v>6133</v>
      </c>
      <c r="E1580" t="s">
        <v>16</v>
      </c>
    </row>
    <row r="1581" spans="1:5" x14ac:dyDescent="0.25">
      <c r="A1581" t="s">
        <v>1746</v>
      </c>
      <c r="B1581" s="23">
        <v>44</v>
      </c>
      <c r="D1581" t="s">
        <v>6134</v>
      </c>
      <c r="E1581" t="s">
        <v>16</v>
      </c>
    </row>
    <row r="1582" spans="1:5" x14ac:dyDescent="0.25">
      <c r="A1582" t="s">
        <v>1747</v>
      </c>
      <c r="B1582" s="23">
        <v>45</v>
      </c>
      <c r="D1582" t="s">
        <v>6135</v>
      </c>
      <c r="E1582" t="s">
        <v>16</v>
      </c>
    </row>
    <row r="1583" spans="1:5" x14ac:dyDescent="0.25">
      <c r="A1583" t="s">
        <v>1748</v>
      </c>
      <c r="B1583" s="23">
        <v>46</v>
      </c>
      <c r="D1583" t="s">
        <v>6136</v>
      </c>
      <c r="E1583" t="s">
        <v>16</v>
      </c>
    </row>
    <row r="1584" spans="1:5" x14ac:dyDescent="0.25">
      <c r="A1584" t="s">
        <v>1749</v>
      </c>
      <c r="B1584" s="23">
        <v>47</v>
      </c>
      <c r="D1584" t="s">
        <v>6137</v>
      </c>
      <c r="E1584" t="s">
        <v>16</v>
      </c>
    </row>
    <row r="1585" spans="1:5" x14ac:dyDescent="0.25">
      <c r="A1585" t="s">
        <v>1750</v>
      </c>
      <c r="B1585" s="23">
        <v>48</v>
      </c>
      <c r="D1585" t="s">
        <v>6138</v>
      </c>
      <c r="E1585" t="s">
        <v>16</v>
      </c>
    </row>
    <row r="1586" spans="1:5" x14ac:dyDescent="0.25">
      <c r="A1586" t="s">
        <v>1751</v>
      </c>
      <c r="B1586" s="23">
        <v>49</v>
      </c>
      <c r="D1586" t="s">
        <v>6139</v>
      </c>
      <c r="E1586" t="s">
        <v>16</v>
      </c>
    </row>
    <row r="1587" spans="1:5" x14ac:dyDescent="0.25">
      <c r="A1587" t="s">
        <v>1752</v>
      </c>
      <c r="B1587" s="23">
        <v>50</v>
      </c>
      <c r="D1587" t="s">
        <v>6140</v>
      </c>
      <c r="E1587" t="s">
        <v>16</v>
      </c>
    </row>
    <row r="1588" spans="1:5" x14ac:dyDescent="0.25">
      <c r="A1588" t="s">
        <v>1753</v>
      </c>
      <c r="B1588" s="23">
        <v>51</v>
      </c>
      <c r="D1588" t="s">
        <v>6141</v>
      </c>
      <c r="E1588" t="s">
        <v>16</v>
      </c>
    </row>
    <row r="1589" spans="1:5" x14ac:dyDescent="0.25">
      <c r="A1589" t="s">
        <v>1754</v>
      </c>
      <c r="B1589" s="23">
        <v>52</v>
      </c>
      <c r="D1589" t="s">
        <v>6142</v>
      </c>
      <c r="E1589" t="s">
        <v>16</v>
      </c>
    </row>
    <row r="1590" spans="1:5" x14ac:dyDescent="0.25">
      <c r="A1590" t="s">
        <v>1755</v>
      </c>
      <c r="B1590" s="23">
        <v>54</v>
      </c>
      <c r="D1590" t="s">
        <v>6143</v>
      </c>
      <c r="E1590" t="s">
        <v>16</v>
      </c>
    </row>
    <row r="1591" spans="1:5" x14ac:dyDescent="0.25">
      <c r="A1591" t="s">
        <v>1756</v>
      </c>
      <c r="B1591" s="23">
        <v>56</v>
      </c>
      <c r="D1591" t="s">
        <v>6144</v>
      </c>
      <c r="E1591" t="s">
        <v>16</v>
      </c>
    </row>
    <row r="1592" spans="1:5" x14ac:dyDescent="0.25">
      <c r="A1592" t="s">
        <v>1757</v>
      </c>
      <c r="B1592" s="23">
        <v>58</v>
      </c>
      <c r="D1592" t="s">
        <v>6145</v>
      </c>
      <c r="E1592" t="s">
        <v>16</v>
      </c>
    </row>
    <row r="1593" spans="1:5" x14ac:dyDescent="0.25">
      <c r="A1593" t="s">
        <v>1758</v>
      </c>
      <c r="B1593" s="23">
        <v>60</v>
      </c>
      <c r="D1593" t="s">
        <v>6146</v>
      </c>
      <c r="E1593" t="s">
        <v>16</v>
      </c>
    </row>
    <row r="1594" spans="1:5" x14ac:dyDescent="0.25">
      <c r="A1594" t="s">
        <v>1759</v>
      </c>
      <c r="B1594" s="23">
        <v>62</v>
      </c>
      <c r="D1594" t="s">
        <v>6147</v>
      </c>
      <c r="E1594" t="s">
        <v>16</v>
      </c>
    </row>
    <row r="1595" spans="1:5" x14ac:dyDescent="0.25">
      <c r="A1595" t="s">
        <v>1760</v>
      </c>
      <c r="B1595" s="23">
        <v>64</v>
      </c>
      <c r="D1595" t="s">
        <v>6148</v>
      </c>
      <c r="E1595" t="s">
        <v>16</v>
      </c>
    </row>
    <row r="1596" spans="1:5" x14ac:dyDescent="0.25">
      <c r="A1596" t="s">
        <v>1761</v>
      </c>
      <c r="B1596" s="23">
        <v>66</v>
      </c>
      <c r="D1596" t="s">
        <v>6149</v>
      </c>
      <c r="E1596" t="s">
        <v>16</v>
      </c>
    </row>
    <row r="1597" spans="1:5" x14ac:dyDescent="0.25">
      <c r="A1597" t="s">
        <v>1762</v>
      </c>
      <c r="B1597" s="23">
        <v>68</v>
      </c>
      <c r="D1597" t="s">
        <v>6150</v>
      </c>
      <c r="E1597" t="s">
        <v>16</v>
      </c>
    </row>
    <row r="1598" spans="1:5" x14ac:dyDescent="0.25">
      <c r="A1598" t="s">
        <v>1763</v>
      </c>
      <c r="B1598" s="23">
        <v>69</v>
      </c>
      <c r="D1598" t="s">
        <v>6151</v>
      </c>
      <c r="E1598" t="s">
        <v>16</v>
      </c>
    </row>
    <row r="1599" spans="1:5" x14ac:dyDescent="0.25">
      <c r="A1599" t="s">
        <v>1764</v>
      </c>
      <c r="B1599" s="23">
        <v>70</v>
      </c>
      <c r="D1599" t="s">
        <v>6152</v>
      </c>
      <c r="E1599" t="s">
        <v>16</v>
      </c>
    </row>
    <row r="1600" spans="1:5" x14ac:dyDescent="0.25">
      <c r="A1600" t="s">
        <v>1765</v>
      </c>
      <c r="B1600" s="23">
        <v>70</v>
      </c>
      <c r="D1600" t="s">
        <v>6153</v>
      </c>
      <c r="E1600" t="s">
        <v>16</v>
      </c>
    </row>
    <row r="1601" spans="1:5" x14ac:dyDescent="0.25">
      <c r="A1601" t="s">
        <v>1766</v>
      </c>
      <c r="B1601" s="23">
        <v>70</v>
      </c>
      <c r="D1601" t="s">
        <v>6154</v>
      </c>
      <c r="E1601" t="s">
        <v>16</v>
      </c>
    </row>
    <row r="1602" spans="1:5" x14ac:dyDescent="0.25">
      <c r="A1602" t="s">
        <v>1767</v>
      </c>
      <c r="B1602" s="23">
        <v>70</v>
      </c>
      <c r="D1602" t="s">
        <v>6155</v>
      </c>
      <c r="E1602" t="s">
        <v>16</v>
      </c>
    </row>
    <row r="1603" spans="1:5" x14ac:dyDescent="0.25">
      <c r="A1603" t="s">
        <v>1768</v>
      </c>
      <c r="B1603" s="23">
        <v>70</v>
      </c>
      <c r="D1603" t="s">
        <v>6156</v>
      </c>
      <c r="E1603" t="s">
        <v>16</v>
      </c>
    </row>
    <row r="1604" spans="1:5" x14ac:dyDescent="0.25">
      <c r="A1604" t="s">
        <v>1769</v>
      </c>
      <c r="B1604" s="23">
        <v>70</v>
      </c>
      <c r="D1604" t="s">
        <v>6157</v>
      </c>
      <c r="E1604" t="s">
        <v>16</v>
      </c>
    </row>
    <row r="1605" spans="1:5" x14ac:dyDescent="0.25">
      <c r="A1605" t="s">
        <v>1770</v>
      </c>
      <c r="B1605" s="23">
        <v>70</v>
      </c>
      <c r="D1605" t="s">
        <v>6158</v>
      </c>
      <c r="E1605" t="s">
        <v>16</v>
      </c>
    </row>
    <row r="1606" spans="1:5" x14ac:dyDescent="0.25">
      <c r="A1606" t="s">
        <v>1771</v>
      </c>
      <c r="B1606" s="23">
        <v>70</v>
      </c>
    </row>
    <row r="1607" spans="1:5" x14ac:dyDescent="0.25">
      <c r="A1607" t="s">
        <v>1772</v>
      </c>
      <c r="B1607" s="23">
        <v>70</v>
      </c>
    </row>
    <row r="1608" spans="1:5" x14ac:dyDescent="0.25">
      <c r="A1608" t="s">
        <v>1773</v>
      </c>
      <c r="B1608" s="23">
        <v>70</v>
      </c>
    </row>
    <row r="1609" spans="1:5" x14ac:dyDescent="0.25">
      <c r="A1609" t="s">
        <v>1774</v>
      </c>
      <c r="B1609" s="23">
        <v>70</v>
      </c>
    </row>
    <row r="1610" spans="1:5" x14ac:dyDescent="0.25">
      <c r="A1610" t="s">
        <v>1775</v>
      </c>
      <c r="B1610" s="23">
        <v>70</v>
      </c>
    </row>
    <row r="1611" spans="1:5" x14ac:dyDescent="0.25">
      <c r="A1611" t="s">
        <v>1776</v>
      </c>
      <c r="B1611" s="23">
        <v>70</v>
      </c>
    </row>
    <row r="1612" spans="1:5" x14ac:dyDescent="0.25">
      <c r="A1612" t="s">
        <v>1777</v>
      </c>
      <c r="B1612" s="23">
        <v>70</v>
      </c>
    </row>
    <row r="1613" spans="1:5" x14ac:dyDescent="0.25">
      <c r="A1613" t="s">
        <v>1778</v>
      </c>
      <c r="B1613" s="23">
        <v>70</v>
      </c>
    </row>
    <row r="1614" spans="1:5" x14ac:dyDescent="0.25">
      <c r="A1614" t="s">
        <v>1779</v>
      </c>
      <c r="B1614" s="23">
        <v>70</v>
      </c>
    </row>
    <row r="1615" spans="1:5" x14ac:dyDescent="0.25">
      <c r="A1615" t="s">
        <v>1780</v>
      </c>
      <c r="B1615" s="23">
        <v>70</v>
      </c>
    </row>
    <row r="1616" spans="1:5" x14ac:dyDescent="0.25">
      <c r="A1616" t="s">
        <v>1781</v>
      </c>
      <c r="B1616" s="23">
        <v>70</v>
      </c>
    </row>
    <row r="1617" spans="1:2" x14ac:dyDescent="0.25">
      <c r="A1617" t="s">
        <v>1782</v>
      </c>
      <c r="B1617" s="23">
        <v>70</v>
      </c>
    </row>
    <row r="1618" spans="1:2" x14ac:dyDescent="0.25">
      <c r="A1618" t="s">
        <v>1783</v>
      </c>
      <c r="B1618" s="23">
        <v>70</v>
      </c>
    </row>
    <row r="1619" spans="1:2" x14ac:dyDescent="0.25">
      <c r="A1619" t="s">
        <v>1784</v>
      </c>
      <c r="B1619" s="23">
        <v>70</v>
      </c>
    </row>
    <row r="1620" spans="1:2" x14ac:dyDescent="0.25">
      <c r="A1620" t="s">
        <v>1785</v>
      </c>
      <c r="B1620" s="23">
        <v>70</v>
      </c>
    </row>
    <row r="1621" spans="1:2" x14ac:dyDescent="0.25">
      <c r="A1621" t="s">
        <v>1786</v>
      </c>
      <c r="B1621" s="23">
        <v>70</v>
      </c>
    </row>
    <row r="1622" spans="1:2" x14ac:dyDescent="0.25">
      <c r="A1622" t="s">
        <v>1787</v>
      </c>
      <c r="B1622" s="23">
        <v>3</v>
      </c>
    </row>
    <row r="1623" spans="1:2" x14ac:dyDescent="0.25">
      <c r="A1623" t="s">
        <v>1788</v>
      </c>
      <c r="B1623" s="23">
        <v>6</v>
      </c>
    </row>
    <row r="1624" spans="1:2" x14ac:dyDescent="0.25">
      <c r="A1624" t="s">
        <v>1789</v>
      </c>
      <c r="B1624" s="23">
        <v>9</v>
      </c>
    </row>
    <row r="1625" spans="1:2" x14ac:dyDescent="0.25">
      <c r="A1625" t="s">
        <v>1790</v>
      </c>
      <c r="B1625" s="23">
        <v>12</v>
      </c>
    </row>
    <row r="1626" spans="1:2" x14ac:dyDescent="0.25">
      <c r="A1626" t="s">
        <v>1791</v>
      </c>
      <c r="B1626" s="23">
        <v>14</v>
      </c>
    </row>
    <row r="1627" spans="1:2" x14ac:dyDescent="0.25">
      <c r="A1627" t="s">
        <v>1792</v>
      </c>
      <c r="B1627" s="23">
        <v>16</v>
      </c>
    </row>
    <row r="1628" spans="1:2" x14ac:dyDescent="0.25">
      <c r="A1628" t="s">
        <v>1793</v>
      </c>
      <c r="B1628" s="23">
        <v>18</v>
      </c>
    </row>
    <row r="1629" spans="1:2" x14ac:dyDescent="0.25">
      <c r="A1629" t="s">
        <v>1794</v>
      </c>
      <c r="B1629" s="23">
        <v>20</v>
      </c>
    </row>
    <row r="1630" spans="1:2" x14ac:dyDescent="0.25">
      <c r="A1630" t="s">
        <v>1795</v>
      </c>
      <c r="B1630" s="23">
        <v>23</v>
      </c>
    </row>
    <row r="1631" spans="1:2" x14ac:dyDescent="0.25">
      <c r="A1631" t="s">
        <v>1796</v>
      </c>
      <c r="B1631" s="23">
        <v>26</v>
      </c>
    </row>
    <row r="1632" spans="1:2" x14ac:dyDescent="0.25">
      <c r="A1632" t="s">
        <v>1797</v>
      </c>
      <c r="B1632" s="23">
        <v>29</v>
      </c>
    </row>
    <row r="1633" spans="1:2" x14ac:dyDescent="0.25">
      <c r="A1633" t="s">
        <v>1798</v>
      </c>
      <c r="B1633" s="23">
        <v>32</v>
      </c>
    </row>
    <row r="1634" spans="1:2" x14ac:dyDescent="0.25">
      <c r="A1634" t="s">
        <v>1799</v>
      </c>
      <c r="B1634" s="23">
        <v>35</v>
      </c>
    </row>
    <row r="1635" spans="1:2" x14ac:dyDescent="0.25">
      <c r="A1635" t="s">
        <v>1800</v>
      </c>
      <c r="B1635" s="23">
        <v>38</v>
      </c>
    </row>
    <row r="1636" spans="1:2" x14ac:dyDescent="0.25">
      <c r="A1636" t="s">
        <v>1801</v>
      </c>
      <c r="B1636" s="23">
        <v>41</v>
      </c>
    </row>
    <row r="1637" spans="1:2" x14ac:dyDescent="0.25">
      <c r="A1637" t="s">
        <v>1802</v>
      </c>
      <c r="B1637" s="23">
        <v>44</v>
      </c>
    </row>
    <row r="1638" spans="1:2" x14ac:dyDescent="0.25">
      <c r="A1638" t="s">
        <v>1803</v>
      </c>
      <c r="B1638" s="23">
        <v>47</v>
      </c>
    </row>
    <row r="1639" spans="1:2" x14ac:dyDescent="0.25">
      <c r="A1639" t="s">
        <v>1804</v>
      </c>
      <c r="B1639" s="23">
        <v>50</v>
      </c>
    </row>
    <row r="1640" spans="1:2" x14ac:dyDescent="0.25">
      <c r="A1640" t="s">
        <v>1805</v>
      </c>
      <c r="B1640" s="23">
        <v>53</v>
      </c>
    </row>
    <row r="1641" spans="1:2" x14ac:dyDescent="0.25">
      <c r="A1641" t="s">
        <v>1806</v>
      </c>
      <c r="B1641" s="23">
        <v>56</v>
      </c>
    </row>
    <row r="1642" spans="1:2" x14ac:dyDescent="0.25">
      <c r="A1642" t="s">
        <v>1807</v>
      </c>
      <c r="B1642" s="23">
        <v>60</v>
      </c>
    </row>
    <row r="1643" spans="1:2" x14ac:dyDescent="0.25">
      <c r="A1643" t="s">
        <v>1808</v>
      </c>
      <c r="B1643" s="23">
        <v>64</v>
      </c>
    </row>
    <row r="1644" spans="1:2" x14ac:dyDescent="0.25">
      <c r="A1644" t="s">
        <v>1809</v>
      </c>
      <c r="B1644" s="23">
        <v>67</v>
      </c>
    </row>
    <row r="1645" spans="1:2" x14ac:dyDescent="0.25">
      <c r="A1645" t="s">
        <v>1810</v>
      </c>
      <c r="B1645" s="23">
        <v>70</v>
      </c>
    </row>
    <row r="1646" spans="1:2" x14ac:dyDescent="0.25">
      <c r="A1646" t="s">
        <v>1811</v>
      </c>
      <c r="B1646" s="23">
        <v>3</v>
      </c>
    </row>
    <row r="1647" spans="1:2" x14ac:dyDescent="0.25">
      <c r="A1647" t="s">
        <v>1812</v>
      </c>
      <c r="B1647" s="23">
        <v>6</v>
      </c>
    </row>
    <row r="1648" spans="1:2" x14ac:dyDescent="0.25">
      <c r="A1648" t="s">
        <v>1813</v>
      </c>
      <c r="B1648" s="23">
        <v>9</v>
      </c>
    </row>
    <row r="1649" spans="1:2" x14ac:dyDescent="0.25">
      <c r="A1649" t="s">
        <v>1814</v>
      </c>
      <c r="B1649" s="23">
        <v>13</v>
      </c>
    </row>
    <row r="1650" spans="1:2" x14ac:dyDescent="0.25">
      <c r="A1650" t="s">
        <v>1815</v>
      </c>
      <c r="B1650" s="23">
        <v>17</v>
      </c>
    </row>
    <row r="1651" spans="1:2" x14ac:dyDescent="0.25">
      <c r="A1651" t="s">
        <v>1816</v>
      </c>
      <c r="B1651" s="23">
        <v>21</v>
      </c>
    </row>
    <row r="1652" spans="1:2" x14ac:dyDescent="0.25">
      <c r="A1652" t="s">
        <v>1817</v>
      </c>
      <c r="B1652" s="23">
        <v>25</v>
      </c>
    </row>
    <row r="1653" spans="1:2" x14ac:dyDescent="0.25">
      <c r="A1653" t="s">
        <v>1818</v>
      </c>
      <c r="B1653" s="23">
        <v>29</v>
      </c>
    </row>
    <row r="1654" spans="1:2" x14ac:dyDescent="0.25">
      <c r="A1654" t="s">
        <v>1819</v>
      </c>
      <c r="B1654" s="23">
        <v>33</v>
      </c>
    </row>
    <row r="1655" spans="1:2" x14ac:dyDescent="0.25">
      <c r="A1655" t="s">
        <v>1820</v>
      </c>
      <c r="B1655" s="23">
        <v>37</v>
      </c>
    </row>
    <row r="1656" spans="1:2" x14ac:dyDescent="0.25">
      <c r="A1656" t="s">
        <v>1821</v>
      </c>
      <c r="B1656" s="23">
        <v>41</v>
      </c>
    </row>
    <row r="1657" spans="1:2" x14ac:dyDescent="0.25">
      <c r="A1657" t="s">
        <v>1822</v>
      </c>
      <c r="B1657" s="23">
        <v>44</v>
      </c>
    </row>
    <row r="1658" spans="1:2" x14ac:dyDescent="0.25">
      <c r="A1658" t="s">
        <v>1823</v>
      </c>
      <c r="B1658" s="23">
        <v>47</v>
      </c>
    </row>
    <row r="1659" spans="1:2" x14ac:dyDescent="0.25">
      <c r="A1659" t="s">
        <v>1824</v>
      </c>
      <c r="B1659" s="23">
        <v>50</v>
      </c>
    </row>
    <row r="1660" spans="1:2" x14ac:dyDescent="0.25">
      <c r="A1660" t="s">
        <v>1825</v>
      </c>
      <c r="B1660" s="23">
        <v>52</v>
      </c>
    </row>
    <row r="1661" spans="1:2" x14ac:dyDescent="0.25">
      <c r="A1661" t="s">
        <v>1826</v>
      </c>
      <c r="B1661" s="23">
        <v>54</v>
      </c>
    </row>
    <row r="1662" spans="1:2" x14ac:dyDescent="0.25">
      <c r="A1662" t="s">
        <v>1827</v>
      </c>
      <c r="B1662" s="23">
        <v>56</v>
      </c>
    </row>
    <row r="1663" spans="1:2" x14ac:dyDescent="0.25">
      <c r="A1663" t="s">
        <v>1828</v>
      </c>
      <c r="B1663" s="23">
        <v>58</v>
      </c>
    </row>
    <row r="1664" spans="1:2" x14ac:dyDescent="0.25">
      <c r="A1664" t="s">
        <v>1829</v>
      </c>
      <c r="B1664" s="23">
        <v>60</v>
      </c>
    </row>
    <row r="1665" spans="1:2" x14ac:dyDescent="0.25">
      <c r="A1665" t="s">
        <v>1830</v>
      </c>
      <c r="B1665" s="23">
        <v>62</v>
      </c>
    </row>
    <row r="1666" spans="1:2" x14ac:dyDescent="0.25">
      <c r="A1666" t="s">
        <v>1831</v>
      </c>
      <c r="B1666" s="23">
        <v>64</v>
      </c>
    </row>
    <row r="1667" spans="1:2" x14ac:dyDescent="0.25">
      <c r="A1667" t="s">
        <v>1832</v>
      </c>
      <c r="B1667" s="23">
        <v>66</v>
      </c>
    </row>
    <row r="1668" spans="1:2" x14ac:dyDescent="0.25">
      <c r="A1668" t="s">
        <v>1833</v>
      </c>
      <c r="B1668" s="23">
        <v>68</v>
      </c>
    </row>
    <row r="1669" spans="1:2" x14ac:dyDescent="0.25">
      <c r="A1669" t="s">
        <v>1834</v>
      </c>
      <c r="B1669" s="23">
        <v>70</v>
      </c>
    </row>
    <row r="1670" spans="1:2" x14ac:dyDescent="0.25">
      <c r="A1670" t="s">
        <v>1835</v>
      </c>
      <c r="B1670" s="23">
        <v>3</v>
      </c>
    </row>
    <row r="1671" spans="1:2" x14ac:dyDescent="0.25">
      <c r="A1671" t="s">
        <v>1836</v>
      </c>
      <c r="B1671" s="23">
        <v>6</v>
      </c>
    </row>
    <row r="1672" spans="1:2" x14ac:dyDescent="0.25">
      <c r="A1672" t="s">
        <v>1837</v>
      </c>
      <c r="B1672" s="23">
        <v>9</v>
      </c>
    </row>
    <row r="1673" spans="1:2" x14ac:dyDescent="0.25">
      <c r="A1673" t="s">
        <v>1838</v>
      </c>
      <c r="B1673" s="23">
        <v>13</v>
      </c>
    </row>
    <row r="1674" spans="1:2" x14ac:dyDescent="0.25">
      <c r="A1674" t="s">
        <v>1839</v>
      </c>
      <c r="B1674" s="23">
        <v>17</v>
      </c>
    </row>
    <row r="1675" spans="1:2" x14ac:dyDescent="0.25">
      <c r="A1675" t="s">
        <v>1840</v>
      </c>
      <c r="B1675" s="23">
        <v>21</v>
      </c>
    </row>
    <row r="1676" spans="1:2" x14ac:dyDescent="0.25">
      <c r="A1676" t="s">
        <v>1841</v>
      </c>
      <c r="B1676" s="23">
        <v>25</v>
      </c>
    </row>
    <row r="1677" spans="1:2" x14ac:dyDescent="0.25">
      <c r="A1677" t="s">
        <v>1842</v>
      </c>
      <c r="B1677" s="23">
        <v>29</v>
      </c>
    </row>
    <row r="1678" spans="1:2" x14ac:dyDescent="0.25">
      <c r="A1678" t="s">
        <v>1843</v>
      </c>
      <c r="B1678" s="23">
        <v>33</v>
      </c>
    </row>
    <row r="1679" spans="1:2" x14ac:dyDescent="0.25">
      <c r="A1679" t="s">
        <v>1844</v>
      </c>
      <c r="B1679" s="23">
        <v>37</v>
      </c>
    </row>
    <row r="1680" spans="1:2" x14ac:dyDescent="0.25">
      <c r="A1680" t="s">
        <v>1845</v>
      </c>
      <c r="B1680" s="23">
        <v>41</v>
      </c>
    </row>
    <row r="1681" spans="1:2" x14ac:dyDescent="0.25">
      <c r="A1681" t="s">
        <v>1846</v>
      </c>
      <c r="B1681" s="23">
        <v>44</v>
      </c>
    </row>
    <row r="1682" spans="1:2" x14ac:dyDescent="0.25">
      <c r="A1682" t="s">
        <v>1847</v>
      </c>
      <c r="B1682" s="23">
        <v>47</v>
      </c>
    </row>
    <row r="1683" spans="1:2" x14ac:dyDescent="0.25">
      <c r="A1683" t="s">
        <v>1848</v>
      </c>
      <c r="B1683" s="23">
        <v>50</v>
      </c>
    </row>
    <row r="1684" spans="1:2" x14ac:dyDescent="0.25">
      <c r="A1684" t="s">
        <v>1849</v>
      </c>
      <c r="B1684" s="23">
        <v>52</v>
      </c>
    </row>
    <row r="1685" spans="1:2" x14ac:dyDescent="0.25">
      <c r="A1685" t="s">
        <v>1850</v>
      </c>
      <c r="B1685" s="23">
        <v>54</v>
      </c>
    </row>
    <row r="1686" spans="1:2" x14ac:dyDescent="0.25">
      <c r="A1686" t="s">
        <v>1851</v>
      </c>
      <c r="B1686" s="23">
        <v>56</v>
      </c>
    </row>
    <row r="1687" spans="1:2" x14ac:dyDescent="0.25">
      <c r="A1687" t="s">
        <v>1852</v>
      </c>
      <c r="B1687" s="23">
        <v>58</v>
      </c>
    </row>
    <row r="1688" spans="1:2" x14ac:dyDescent="0.25">
      <c r="A1688" t="s">
        <v>1853</v>
      </c>
      <c r="B1688" s="23">
        <v>60</v>
      </c>
    </row>
    <row r="1689" spans="1:2" x14ac:dyDescent="0.25">
      <c r="A1689" t="s">
        <v>1854</v>
      </c>
      <c r="B1689" s="23">
        <v>62</v>
      </c>
    </row>
    <row r="1690" spans="1:2" x14ac:dyDescent="0.25">
      <c r="A1690" t="s">
        <v>1855</v>
      </c>
      <c r="B1690" s="23">
        <v>64</v>
      </c>
    </row>
    <row r="1691" spans="1:2" x14ac:dyDescent="0.25">
      <c r="A1691" t="s">
        <v>1856</v>
      </c>
      <c r="B1691" s="23">
        <v>66</v>
      </c>
    </row>
    <row r="1692" spans="1:2" x14ac:dyDescent="0.25">
      <c r="A1692" t="s">
        <v>1857</v>
      </c>
      <c r="B1692" s="23">
        <v>68</v>
      </c>
    </row>
    <row r="1693" spans="1:2" x14ac:dyDescent="0.25">
      <c r="A1693" t="s">
        <v>1858</v>
      </c>
      <c r="B1693" s="23">
        <v>70</v>
      </c>
    </row>
    <row r="1694" spans="1:2" x14ac:dyDescent="0.25">
      <c r="A1694" t="s">
        <v>1859</v>
      </c>
      <c r="B1694" s="23">
        <v>3</v>
      </c>
    </row>
    <row r="1695" spans="1:2" x14ac:dyDescent="0.25">
      <c r="A1695" t="s">
        <v>1860</v>
      </c>
      <c r="B1695" s="23">
        <v>6</v>
      </c>
    </row>
    <row r="1696" spans="1:2" x14ac:dyDescent="0.25">
      <c r="A1696" t="s">
        <v>1861</v>
      </c>
      <c r="B1696" s="23">
        <v>9</v>
      </c>
    </row>
    <row r="1697" spans="1:2" x14ac:dyDescent="0.25">
      <c r="A1697" t="s">
        <v>1862</v>
      </c>
      <c r="B1697" s="23">
        <v>12</v>
      </c>
    </row>
    <row r="1698" spans="1:2" x14ac:dyDescent="0.25">
      <c r="A1698" t="s">
        <v>1863</v>
      </c>
      <c r="B1698" s="23">
        <v>15</v>
      </c>
    </row>
    <row r="1699" spans="1:2" x14ac:dyDescent="0.25">
      <c r="A1699" t="s">
        <v>1864</v>
      </c>
      <c r="B1699" s="23">
        <v>18</v>
      </c>
    </row>
    <row r="1700" spans="1:2" x14ac:dyDescent="0.25">
      <c r="A1700" t="s">
        <v>1865</v>
      </c>
      <c r="B1700" s="23">
        <v>21</v>
      </c>
    </row>
    <row r="1701" spans="1:2" x14ac:dyDescent="0.25">
      <c r="A1701" t="s">
        <v>1866</v>
      </c>
      <c r="B1701" s="23">
        <v>24</v>
      </c>
    </row>
    <row r="1702" spans="1:2" x14ac:dyDescent="0.25">
      <c r="A1702" t="s">
        <v>1867</v>
      </c>
      <c r="B1702" s="23">
        <v>28</v>
      </c>
    </row>
    <row r="1703" spans="1:2" x14ac:dyDescent="0.25">
      <c r="A1703" t="s">
        <v>1868</v>
      </c>
      <c r="B1703" s="23">
        <v>32</v>
      </c>
    </row>
    <row r="1704" spans="1:2" x14ac:dyDescent="0.25">
      <c r="A1704" t="s">
        <v>1869</v>
      </c>
      <c r="B1704" s="23">
        <v>35</v>
      </c>
    </row>
    <row r="1705" spans="1:2" x14ac:dyDescent="0.25">
      <c r="A1705" t="s">
        <v>1870</v>
      </c>
      <c r="B1705" s="23">
        <v>38</v>
      </c>
    </row>
    <row r="1706" spans="1:2" x14ac:dyDescent="0.25">
      <c r="A1706" t="s">
        <v>1871</v>
      </c>
      <c r="B1706" s="23">
        <v>41</v>
      </c>
    </row>
    <row r="1707" spans="1:2" x14ac:dyDescent="0.25">
      <c r="A1707" t="s">
        <v>1872</v>
      </c>
      <c r="B1707" s="23">
        <v>44</v>
      </c>
    </row>
    <row r="1708" spans="1:2" x14ac:dyDescent="0.25">
      <c r="A1708" t="s">
        <v>1873</v>
      </c>
      <c r="B1708" s="23">
        <v>47</v>
      </c>
    </row>
    <row r="1709" spans="1:2" x14ac:dyDescent="0.25">
      <c r="A1709" t="s">
        <v>1874</v>
      </c>
      <c r="B1709" s="23">
        <v>50</v>
      </c>
    </row>
    <row r="1710" spans="1:2" x14ac:dyDescent="0.25">
      <c r="A1710" t="s">
        <v>1875</v>
      </c>
      <c r="B1710" s="23">
        <v>53</v>
      </c>
    </row>
    <row r="1711" spans="1:2" x14ac:dyDescent="0.25">
      <c r="A1711" t="s">
        <v>1876</v>
      </c>
      <c r="B1711" s="23">
        <v>56</v>
      </c>
    </row>
    <row r="1712" spans="1:2" x14ac:dyDescent="0.25">
      <c r="A1712" t="s">
        <v>1877</v>
      </c>
      <c r="B1712" s="23">
        <v>59</v>
      </c>
    </row>
    <row r="1713" spans="1:2" x14ac:dyDescent="0.25">
      <c r="A1713" t="s">
        <v>1878</v>
      </c>
      <c r="B1713" s="23">
        <v>62</v>
      </c>
    </row>
    <row r="1714" spans="1:2" x14ac:dyDescent="0.25">
      <c r="A1714" t="s">
        <v>1879</v>
      </c>
      <c r="B1714" s="23">
        <v>64</v>
      </c>
    </row>
    <row r="1715" spans="1:2" x14ac:dyDescent="0.25">
      <c r="A1715" t="s">
        <v>1880</v>
      </c>
      <c r="B1715" s="23">
        <v>66</v>
      </c>
    </row>
    <row r="1716" spans="1:2" x14ac:dyDescent="0.25">
      <c r="A1716" t="s">
        <v>1881</v>
      </c>
      <c r="B1716" s="23">
        <v>68</v>
      </c>
    </row>
    <row r="1717" spans="1:2" x14ac:dyDescent="0.25">
      <c r="A1717" t="s">
        <v>1882</v>
      </c>
      <c r="B1717" s="23">
        <v>70</v>
      </c>
    </row>
    <row r="1718" spans="1:2" x14ac:dyDescent="0.25">
      <c r="A1718" t="s">
        <v>1883</v>
      </c>
      <c r="B1718" s="24">
        <v>70</v>
      </c>
    </row>
    <row r="1719" spans="1:2" x14ac:dyDescent="0.25">
      <c r="A1719" t="s">
        <v>1884</v>
      </c>
      <c r="B1719" s="24">
        <v>70</v>
      </c>
    </row>
    <row r="1720" spans="1:2" x14ac:dyDescent="0.25">
      <c r="A1720" t="s">
        <v>1885</v>
      </c>
      <c r="B1720" s="24">
        <v>70</v>
      </c>
    </row>
    <row r="1721" spans="1:2" x14ac:dyDescent="0.25">
      <c r="A1721" t="s">
        <v>1886</v>
      </c>
      <c r="B1721" s="24">
        <v>70</v>
      </c>
    </row>
    <row r="1722" spans="1:2" x14ac:dyDescent="0.25">
      <c r="A1722" t="s">
        <v>1887</v>
      </c>
      <c r="B1722" s="24">
        <v>70</v>
      </c>
    </row>
    <row r="1723" spans="1:2" x14ac:dyDescent="0.25">
      <c r="A1723" t="s">
        <v>1888</v>
      </c>
      <c r="B1723" s="24">
        <v>70</v>
      </c>
    </row>
    <row r="1724" spans="1:2" x14ac:dyDescent="0.25">
      <c r="A1724" t="s">
        <v>1889</v>
      </c>
      <c r="B1724" s="24">
        <v>70</v>
      </c>
    </row>
    <row r="1725" spans="1:2" x14ac:dyDescent="0.25">
      <c r="A1725" t="s">
        <v>1890</v>
      </c>
      <c r="B1725" s="24">
        <v>70</v>
      </c>
    </row>
    <row r="1726" spans="1:2" x14ac:dyDescent="0.25">
      <c r="A1726" t="s">
        <v>1891</v>
      </c>
      <c r="B1726" s="24">
        <v>70</v>
      </c>
    </row>
    <row r="1727" spans="1:2" x14ac:dyDescent="0.25">
      <c r="A1727" t="s">
        <v>1892</v>
      </c>
      <c r="B1727" s="24">
        <v>70</v>
      </c>
    </row>
    <row r="1728" spans="1:2" x14ac:dyDescent="0.25">
      <c r="A1728" t="s">
        <v>1893</v>
      </c>
      <c r="B1728" s="24">
        <v>70</v>
      </c>
    </row>
    <row r="1729" spans="1:2" x14ac:dyDescent="0.25">
      <c r="A1729" t="s">
        <v>1894</v>
      </c>
      <c r="B1729" s="24">
        <v>70</v>
      </c>
    </row>
    <row r="1730" spans="1:2" x14ac:dyDescent="0.25">
      <c r="A1730" t="s">
        <v>1895</v>
      </c>
      <c r="B1730" s="24">
        <v>70</v>
      </c>
    </row>
    <row r="1731" spans="1:2" x14ac:dyDescent="0.25">
      <c r="A1731" t="s">
        <v>1896</v>
      </c>
      <c r="B1731" s="24">
        <v>70</v>
      </c>
    </row>
    <row r="1732" spans="1:2" x14ac:dyDescent="0.25">
      <c r="A1732" t="s">
        <v>1897</v>
      </c>
      <c r="B1732" s="24">
        <v>70</v>
      </c>
    </row>
    <row r="1733" spans="1:2" x14ac:dyDescent="0.25">
      <c r="A1733" t="s">
        <v>1898</v>
      </c>
      <c r="B1733" s="24">
        <v>70</v>
      </c>
    </row>
    <row r="1734" spans="1:2" x14ac:dyDescent="0.25">
      <c r="A1734" t="s">
        <v>1899</v>
      </c>
      <c r="B1734" s="24">
        <v>70</v>
      </c>
    </row>
    <row r="1735" spans="1:2" x14ac:dyDescent="0.25">
      <c r="A1735" t="s">
        <v>1900</v>
      </c>
      <c r="B1735" s="24">
        <v>70</v>
      </c>
    </row>
    <row r="1736" spans="1:2" x14ac:dyDescent="0.25">
      <c r="A1736" t="s">
        <v>1901</v>
      </c>
      <c r="B1736" s="24">
        <v>70</v>
      </c>
    </row>
    <row r="1737" spans="1:2" x14ac:dyDescent="0.25">
      <c r="A1737" t="s">
        <v>1902</v>
      </c>
      <c r="B1737" s="24">
        <v>70</v>
      </c>
    </row>
    <row r="1738" spans="1:2" x14ac:dyDescent="0.25">
      <c r="A1738" t="s">
        <v>1903</v>
      </c>
      <c r="B1738" s="24">
        <v>70</v>
      </c>
    </row>
    <row r="1739" spans="1:2" x14ac:dyDescent="0.25">
      <c r="A1739" t="s">
        <v>1904</v>
      </c>
      <c r="B1739" s="24">
        <v>70</v>
      </c>
    </row>
    <row r="1740" spans="1:2" x14ac:dyDescent="0.25">
      <c r="A1740" t="s">
        <v>1905</v>
      </c>
      <c r="B1740" s="24">
        <v>70</v>
      </c>
    </row>
    <row r="1741" spans="1:2" x14ac:dyDescent="0.25">
      <c r="A1741" t="s">
        <v>1906</v>
      </c>
      <c r="B1741" s="24">
        <v>70</v>
      </c>
    </row>
    <row r="1742" spans="1:2" x14ac:dyDescent="0.25">
      <c r="A1742" t="s">
        <v>1907</v>
      </c>
      <c r="B1742" s="24">
        <v>70</v>
      </c>
    </row>
    <row r="1743" spans="1:2" x14ac:dyDescent="0.25">
      <c r="A1743" t="s">
        <v>1908</v>
      </c>
      <c r="B1743" s="24">
        <v>70</v>
      </c>
    </row>
    <row r="1744" spans="1:2" x14ac:dyDescent="0.25">
      <c r="A1744" t="s">
        <v>1909</v>
      </c>
      <c r="B1744" s="24">
        <v>70</v>
      </c>
    </row>
    <row r="1745" spans="1:2" x14ac:dyDescent="0.25">
      <c r="A1745" t="s">
        <v>1910</v>
      </c>
      <c r="B1745" s="24">
        <v>70</v>
      </c>
    </row>
    <row r="1746" spans="1:2" x14ac:dyDescent="0.25">
      <c r="A1746" t="s">
        <v>1911</v>
      </c>
      <c r="B1746" s="24">
        <v>70</v>
      </c>
    </row>
    <row r="1747" spans="1:2" x14ac:dyDescent="0.25">
      <c r="A1747" t="s">
        <v>1912</v>
      </c>
      <c r="B1747" s="24">
        <v>70</v>
      </c>
    </row>
    <row r="1748" spans="1:2" x14ac:dyDescent="0.25">
      <c r="A1748" t="s">
        <v>1913</v>
      </c>
      <c r="B1748" s="24">
        <v>70</v>
      </c>
    </row>
    <row r="1749" spans="1:2" x14ac:dyDescent="0.25">
      <c r="A1749" t="s">
        <v>1914</v>
      </c>
      <c r="B1749" s="24">
        <v>70</v>
      </c>
    </row>
    <row r="1750" spans="1:2" x14ac:dyDescent="0.25">
      <c r="A1750" t="s">
        <v>1915</v>
      </c>
      <c r="B1750" s="24">
        <v>70</v>
      </c>
    </row>
    <row r="1751" spans="1:2" x14ac:dyDescent="0.25">
      <c r="A1751" t="s">
        <v>1916</v>
      </c>
      <c r="B1751" s="24">
        <v>70</v>
      </c>
    </row>
    <row r="1752" spans="1:2" x14ac:dyDescent="0.25">
      <c r="A1752" t="s">
        <v>1917</v>
      </c>
      <c r="B1752" s="24">
        <v>69</v>
      </c>
    </row>
    <row r="1753" spans="1:2" x14ac:dyDescent="0.25">
      <c r="A1753" t="s">
        <v>1918</v>
      </c>
      <c r="B1753" s="24">
        <v>69</v>
      </c>
    </row>
    <row r="1754" spans="1:2" x14ac:dyDescent="0.25">
      <c r="A1754" t="s">
        <v>1919</v>
      </c>
      <c r="B1754" s="24">
        <v>68</v>
      </c>
    </row>
    <row r="1755" spans="1:2" x14ac:dyDescent="0.25">
      <c r="A1755" t="s">
        <v>1920</v>
      </c>
      <c r="B1755" s="24">
        <v>68</v>
      </c>
    </row>
    <row r="1756" spans="1:2" x14ac:dyDescent="0.25">
      <c r="A1756" t="s">
        <v>1921</v>
      </c>
      <c r="B1756" s="24">
        <v>67</v>
      </c>
    </row>
    <row r="1757" spans="1:2" x14ac:dyDescent="0.25">
      <c r="A1757" t="s">
        <v>1922</v>
      </c>
      <c r="B1757" s="24">
        <v>67</v>
      </c>
    </row>
    <row r="1758" spans="1:2" x14ac:dyDescent="0.25">
      <c r="A1758" t="s">
        <v>1923</v>
      </c>
      <c r="B1758" s="24">
        <v>66</v>
      </c>
    </row>
    <row r="1759" spans="1:2" x14ac:dyDescent="0.25">
      <c r="A1759" t="s">
        <v>1924</v>
      </c>
      <c r="B1759" s="24">
        <v>66</v>
      </c>
    </row>
    <row r="1760" spans="1:2" x14ac:dyDescent="0.25">
      <c r="A1760" t="s">
        <v>1925</v>
      </c>
      <c r="B1760" s="24">
        <v>65</v>
      </c>
    </row>
    <row r="1761" spans="1:2" x14ac:dyDescent="0.25">
      <c r="A1761" t="s">
        <v>1926</v>
      </c>
      <c r="B1761" s="24">
        <v>65</v>
      </c>
    </row>
    <row r="1762" spans="1:2" x14ac:dyDescent="0.25">
      <c r="A1762" t="s">
        <v>1927</v>
      </c>
      <c r="B1762" s="24">
        <v>64</v>
      </c>
    </row>
    <row r="1763" spans="1:2" x14ac:dyDescent="0.25">
      <c r="A1763" t="s">
        <v>1928</v>
      </c>
      <c r="B1763" s="24">
        <v>64</v>
      </c>
    </row>
    <row r="1764" spans="1:2" x14ac:dyDescent="0.25">
      <c r="A1764" t="s">
        <v>1929</v>
      </c>
      <c r="B1764" s="24">
        <v>63</v>
      </c>
    </row>
    <row r="1765" spans="1:2" x14ac:dyDescent="0.25">
      <c r="A1765" t="s">
        <v>1930</v>
      </c>
      <c r="B1765" s="24">
        <v>63</v>
      </c>
    </row>
    <row r="1766" spans="1:2" x14ac:dyDescent="0.25">
      <c r="A1766" t="s">
        <v>1931</v>
      </c>
      <c r="B1766" s="24">
        <v>62</v>
      </c>
    </row>
    <row r="1767" spans="1:2" x14ac:dyDescent="0.25">
      <c r="A1767" t="s">
        <v>1932</v>
      </c>
      <c r="B1767" s="24">
        <v>62</v>
      </c>
    </row>
    <row r="1768" spans="1:2" x14ac:dyDescent="0.25">
      <c r="A1768" t="s">
        <v>1933</v>
      </c>
      <c r="B1768" s="24">
        <v>61</v>
      </c>
    </row>
    <row r="1769" spans="1:2" x14ac:dyDescent="0.25">
      <c r="A1769" t="s">
        <v>1934</v>
      </c>
      <c r="B1769" s="24">
        <v>61</v>
      </c>
    </row>
    <row r="1770" spans="1:2" x14ac:dyDescent="0.25">
      <c r="A1770" t="s">
        <v>1935</v>
      </c>
      <c r="B1770" s="24">
        <v>61</v>
      </c>
    </row>
    <row r="1771" spans="1:2" x14ac:dyDescent="0.25">
      <c r="A1771" t="s">
        <v>1936</v>
      </c>
      <c r="B1771" s="24">
        <v>61</v>
      </c>
    </row>
    <row r="1772" spans="1:2" x14ac:dyDescent="0.25">
      <c r="A1772" t="s">
        <v>1937</v>
      </c>
      <c r="B1772" s="24">
        <v>60</v>
      </c>
    </row>
    <row r="1773" spans="1:2" x14ac:dyDescent="0.25">
      <c r="A1773" t="s">
        <v>1938</v>
      </c>
      <c r="B1773" s="24">
        <v>60</v>
      </c>
    </row>
    <row r="1774" spans="1:2" x14ac:dyDescent="0.25">
      <c r="A1774" t="s">
        <v>1939</v>
      </c>
      <c r="B1774" s="24">
        <v>59</v>
      </c>
    </row>
    <row r="1775" spans="1:2" x14ac:dyDescent="0.25">
      <c r="A1775" t="s">
        <v>1940</v>
      </c>
      <c r="B1775" s="24">
        <v>59</v>
      </c>
    </row>
    <row r="1776" spans="1:2" x14ac:dyDescent="0.25">
      <c r="A1776" t="s">
        <v>1941</v>
      </c>
      <c r="B1776" s="24">
        <v>58</v>
      </c>
    </row>
    <row r="1777" spans="1:2" x14ac:dyDescent="0.25">
      <c r="A1777" t="s">
        <v>1942</v>
      </c>
      <c r="B1777" s="24">
        <v>58</v>
      </c>
    </row>
    <row r="1778" spans="1:2" x14ac:dyDescent="0.25">
      <c r="A1778" t="s">
        <v>1943</v>
      </c>
      <c r="B1778" s="24">
        <v>57</v>
      </c>
    </row>
    <row r="1779" spans="1:2" x14ac:dyDescent="0.25">
      <c r="A1779" t="s">
        <v>1944</v>
      </c>
      <c r="B1779" s="24">
        <v>57</v>
      </c>
    </row>
    <row r="1780" spans="1:2" x14ac:dyDescent="0.25">
      <c r="A1780" t="s">
        <v>1945</v>
      </c>
      <c r="B1780" s="24">
        <v>56</v>
      </c>
    </row>
    <row r="1781" spans="1:2" x14ac:dyDescent="0.25">
      <c r="A1781" t="s">
        <v>1946</v>
      </c>
      <c r="B1781" s="24">
        <v>56</v>
      </c>
    </row>
    <row r="1782" spans="1:2" x14ac:dyDescent="0.25">
      <c r="A1782" t="s">
        <v>1947</v>
      </c>
      <c r="B1782" s="24">
        <v>55</v>
      </c>
    </row>
    <row r="1783" spans="1:2" x14ac:dyDescent="0.25">
      <c r="A1783" t="s">
        <v>1948</v>
      </c>
      <c r="B1783" s="24">
        <v>55</v>
      </c>
    </row>
    <row r="1784" spans="1:2" x14ac:dyDescent="0.25">
      <c r="A1784" t="s">
        <v>1949</v>
      </c>
      <c r="B1784" s="24">
        <v>54</v>
      </c>
    </row>
    <row r="1785" spans="1:2" x14ac:dyDescent="0.25">
      <c r="A1785" t="s">
        <v>1950</v>
      </c>
      <c r="B1785" s="24">
        <v>54</v>
      </c>
    </row>
    <row r="1786" spans="1:2" x14ac:dyDescent="0.25">
      <c r="A1786" t="s">
        <v>1951</v>
      </c>
      <c r="B1786" s="24">
        <v>53</v>
      </c>
    </row>
    <row r="1787" spans="1:2" x14ac:dyDescent="0.25">
      <c r="A1787" t="s">
        <v>1952</v>
      </c>
      <c r="B1787" s="24">
        <v>53</v>
      </c>
    </row>
    <row r="1788" spans="1:2" x14ac:dyDescent="0.25">
      <c r="A1788" t="s">
        <v>1953</v>
      </c>
      <c r="B1788" s="24">
        <v>52</v>
      </c>
    </row>
    <row r="1789" spans="1:2" x14ac:dyDescent="0.25">
      <c r="A1789" t="s">
        <v>1954</v>
      </c>
      <c r="B1789" s="24">
        <v>52</v>
      </c>
    </row>
    <row r="1790" spans="1:2" x14ac:dyDescent="0.25">
      <c r="A1790" t="s">
        <v>1955</v>
      </c>
      <c r="B1790" s="24">
        <v>51</v>
      </c>
    </row>
    <row r="1791" spans="1:2" x14ac:dyDescent="0.25">
      <c r="A1791" t="s">
        <v>1956</v>
      </c>
      <c r="B1791" s="24">
        <v>51</v>
      </c>
    </row>
    <row r="1792" spans="1:2" x14ac:dyDescent="0.25">
      <c r="A1792" t="s">
        <v>1957</v>
      </c>
      <c r="B1792" s="24">
        <v>50</v>
      </c>
    </row>
    <row r="1793" spans="1:2" x14ac:dyDescent="0.25">
      <c r="A1793" t="s">
        <v>1958</v>
      </c>
      <c r="B1793" s="24">
        <v>50</v>
      </c>
    </row>
    <row r="1794" spans="1:2" x14ac:dyDescent="0.25">
      <c r="A1794" t="s">
        <v>1959</v>
      </c>
      <c r="B1794" s="24">
        <v>49</v>
      </c>
    </row>
    <row r="1795" spans="1:2" x14ac:dyDescent="0.25">
      <c r="A1795" t="s">
        <v>1960</v>
      </c>
      <c r="B1795" s="24">
        <v>49</v>
      </c>
    </row>
    <row r="1796" spans="1:2" x14ac:dyDescent="0.25">
      <c r="A1796" t="s">
        <v>1961</v>
      </c>
      <c r="B1796" s="24">
        <v>48</v>
      </c>
    </row>
    <row r="1797" spans="1:2" x14ac:dyDescent="0.25">
      <c r="A1797" t="s">
        <v>1962</v>
      </c>
      <c r="B1797" s="24">
        <v>48</v>
      </c>
    </row>
    <row r="1798" spans="1:2" x14ac:dyDescent="0.25">
      <c r="A1798" t="s">
        <v>1963</v>
      </c>
      <c r="B1798" s="24">
        <v>47</v>
      </c>
    </row>
    <row r="1799" spans="1:2" x14ac:dyDescent="0.25">
      <c r="A1799" t="s">
        <v>1964</v>
      </c>
      <c r="B1799" s="24">
        <v>47</v>
      </c>
    </row>
    <row r="1800" spans="1:2" x14ac:dyDescent="0.25">
      <c r="A1800" t="s">
        <v>1965</v>
      </c>
      <c r="B1800" s="24">
        <v>46</v>
      </c>
    </row>
    <row r="1801" spans="1:2" x14ac:dyDescent="0.25">
      <c r="A1801" t="s">
        <v>1966</v>
      </c>
      <c r="B1801" s="24">
        <v>46</v>
      </c>
    </row>
    <row r="1802" spans="1:2" x14ac:dyDescent="0.25">
      <c r="A1802" t="s">
        <v>1967</v>
      </c>
      <c r="B1802" s="24">
        <v>45</v>
      </c>
    </row>
    <row r="1803" spans="1:2" x14ac:dyDescent="0.25">
      <c r="A1803" t="s">
        <v>1968</v>
      </c>
      <c r="B1803" s="24">
        <v>45</v>
      </c>
    </row>
    <row r="1804" spans="1:2" x14ac:dyDescent="0.25">
      <c r="A1804" t="s">
        <v>1969</v>
      </c>
      <c r="B1804" s="24">
        <v>45</v>
      </c>
    </row>
    <row r="1805" spans="1:2" x14ac:dyDescent="0.25">
      <c r="A1805" t="s">
        <v>1970</v>
      </c>
      <c r="B1805" s="24">
        <v>45</v>
      </c>
    </row>
    <row r="1806" spans="1:2" x14ac:dyDescent="0.25">
      <c r="A1806" t="s">
        <v>1971</v>
      </c>
      <c r="B1806" s="24">
        <v>45</v>
      </c>
    </row>
    <row r="1807" spans="1:2" x14ac:dyDescent="0.25">
      <c r="A1807" t="s">
        <v>1972</v>
      </c>
      <c r="B1807" s="24">
        <v>44</v>
      </c>
    </row>
    <row r="1808" spans="1:2" x14ac:dyDescent="0.25">
      <c r="A1808" t="s">
        <v>1973</v>
      </c>
      <c r="B1808" s="24">
        <v>44</v>
      </c>
    </row>
    <row r="1809" spans="1:2" x14ac:dyDescent="0.25">
      <c r="A1809" t="s">
        <v>1974</v>
      </c>
      <c r="B1809" s="24">
        <v>44</v>
      </c>
    </row>
    <row r="1810" spans="1:2" x14ac:dyDescent="0.25">
      <c r="A1810" t="s">
        <v>1975</v>
      </c>
      <c r="B1810" s="24">
        <v>44</v>
      </c>
    </row>
    <row r="1811" spans="1:2" x14ac:dyDescent="0.25">
      <c r="A1811" t="s">
        <v>1976</v>
      </c>
      <c r="B1811" s="24">
        <v>44</v>
      </c>
    </row>
    <row r="1812" spans="1:2" x14ac:dyDescent="0.25">
      <c r="A1812" t="s">
        <v>1977</v>
      </c>
      <c r="B1812" s="24">
        <v>43</v>
      </c>
    </row>
    <row r="1813" spans="1:2" x14ac:dyDescent="0.25">
      <c r="A1813" t="s">
        <v>1978</v>
      </c>
      <c r="B1813" s="24">
        <v>43</v>
      </c>
    </row>
    <row r="1814" spans="1:2" x14ac:dyDescent="0.25">
      <c r="A1814" t="s">
        <v>1979</v>
      </c>
      <c r="B1814" s="24">
        <v>43</v>
      </c>
    </row>
    <row r="1815" spans="1:2" x14ac:dyDescent="0.25">
      <c r="A1815" t="s">
        <v>1980</v>
      </c>
      <c r="B1815" s="24">
        <v>43</v>
      </c>
    </row>
    <row r="1816" spans="1:2" x14ac:dyDescent="0.25">
      <c r="A1816" t="s">
        <v>1981</v>
      </c>
      <c r="B1816" s="24">
        <v>43</v>
      </c>
    </row>
    <row r="1817" spans="1:2" x14ac:dyDescent="0.25">
      <c r="A1817" t="s">
        <v>1982</v>
      </c>
      <c r="B1817" s="24">
        <v>42</v>
      </c>
    </row>
    <row r="1818" spans="1:2" x14ac:dyDescent="0.25">
      <c r="A1818" t="s">
        <v>1983</v>
      </c>
      <c r="B1818" s="24">
        <v>42</v>
      </c>
    </row>
    <row r="1819" spans="1:2" x14ac:dyDescent="0.25">
      <c r="A1819" t="s">
        <v>1984</v>
      </c>
      <c r="B1819" s="24">
        <v>42</v>
      </c>
    </row>
    <row r="1820" spans="1:2" x14ac:dyDescent="0.25">
      <c r="A1820" t="s">
        <v>1985</v>
      </c>
      <c r="B1820" s="24">
        <v>42</v>
      </c>
    </row>
    <row r="1821" spans="1:2" x14ac:dyDescent="0.25">
      <c r="A1821" t="s">
        <v>1986</v>
      </c>
      <c r="B1821" s="24">
        <v>42</v>
      </c>
    </row>
    <row r="1822" spans="1:2" x14ac:dyDescent="0.25">
      <c r="A1822" t="s">
        <v>1987</v>
      </c>
      <c r="B1822" s="24">
        <v>41</v>
      </c>
    </row>
    <row r="1823" spans="1:2" x14ac:dyDescent="0.25">
      <c r="A1823" t="s">
        <v>1988</v>
      </c>
      <c r="B1823" s="24">
        <v>41</v>
      </c>
    </row>
    <row r="1824" spans="1:2" x14ac:dyDescent="0.25">
      <c r="A1824" t="s">
        <v>1989</v>
      </c>
      <c r="B1824" s="24">
        <v>41</v>
      </c>
    </row>
    <row r="1825" spans="1:2" x14ac:dyDescent="0.25">
      <c r="A1825" t="s">
        <v>1990</v>
      </c>
      <c r="B1825" s="24">
        <v>41</v>
      </c>
    </row>
    <row r="1826" spans="1:2" x14ac:dyDescent="0.25">
      <c r="A1826" t="s">
        <v>1991</v>
      </c>
      <c r="B1826" s="24">
        <v>41</v>
      </c>
    </row>
    <row r="1827" spans="1:2" x14ac:dyDescent="0.25">
      <c r="A1827" t="s">
        <v>1992</v>
      </c>
      <c r="B1827" s="24">
        <v>40</v>
      </c>
    </row>
    <row r="1828" spans="1:2" x14ac:dyDescent="0.25">
      <c r="A1828" t="s">
        <v>1993</v>
      </c>
      <c r="B1828" s="24">
        <v>40</v>
      </c>
    </row>
    <row r="1829" spans="1:2" x14ac:dyDescent="0.25">
      <c r="A1829" t="s">
        <v>1994</v>
      </c>
      <c r="B1829" s="24">
        <v>40</v>
      </c>
    </row>
    <row r="1830" spans="1:2" x14ac:dyDescent="0.25">
      <c r="A1830" t="s">
        <v>1995</v>
      </c>
      <c r="B1830" s="24">
        <v>40</v>
      </c>
    </row>
    <row r="1831" spans="1:2" x14ac:dyDescent="0.25">
      <c r="A1831" t="s">
        <v>1996</v>
      </c>
      <c r="B1831" s="24">
        <v>40</v>
      </c>
    </row>
    <row r="1832" spans="1:2" x14ac:dyDescent="0.25">
      <c r="A1832" t="s">
        <v>1997</v>
      </c>
      <c r="B1832" s="24">
        <v>39</v>
      </c>
    </row>
    <row r="1833" spans="1:2" x14ac:dyDescent="0.25">
      <c r="A1833" t="s">
        <v>1998</v>
      </c>
      <c r="B1833" s="24">
        <v>39</v>
      </c>
    </row>
    <row r="1834" spans="1:2" x14ac:dyDescent="0.25">
      <c r="A1834" t="s">
        <v>1999</v>
      </c>
      <c r="B1834" s="24">
        <v>39</v>
      </c>
    </row>
    <row r="1835" spans="1:2" x14ac:dyDescent="0.25">
      <c r="A1835" t="s">
        <v>2000</v>
      </c>
      <c r="B1835" s="24">
        <v>39</v>
      </c>
    </row>
    <row r="1836" spans="1:2" x14ac:dyDescent="0.25">
      <c r="A1836" t="s">
        <v>2001</v>
      </c>
      <c r="B1836" s="24">
        <v>39</v>
      </c>
    </row>
    <row r="1837" spans="1:2" x14ac:dyDescent="0.25">
      <c r="A1837" t="s">
        <v>2002</v>
      </c>
      <c r="B1837" s="24">
        <v>38</v>
      </c>
    </row>
    <row r="1838" spans="1:2" x14ac:dyDescent="0.25">
      <c r="A1838" t="s">
        <v>2003</v>
      </c>
      <c r="B1838" s="24">
        <v>38</v>
      </c>
    </row>
    <row r="1839" spans="1:2" x14ac:dyDescent="0.25">
      <c r="A1839" t="s">
        <v>2004</v>
      </c>
      <c r="B1839" s="24">
        <v>38</v>
      </c>
    </row>
    <row r="1840" spans="1:2" x14ac:dyDescent="0.25">
      <c r="A1840" t="s">
        <v>2005</v>
      </c>
      <c r="B1840" s="24">
        <v>38</v>
      </c>
    </row>
    <row r="1841" spans="1:2" x14ac:dyDescent="0.25">
      <c r="A1841" t="s">
        <v>2006</v>
      </c>
      <c r="B1841" s="24">
        <v>38</v>
      </c>
    </row>
    <row r="1842" spans="1:2" x14ac:dyDescent="0.25">
      <c r="A1842" t="s">
        <v>2007</v>
      </c>
      <c r="B1842" s="24">
        <v>37</v>
      </c>
    </row>
    <row r="1843" spans="1:2" x14ac:dyDescent="0.25">
      <c r="A1843" t="s">
        <v>2008</v>
      </c>
      <c r="B1843" s="24">
        <v>37</v>
      </c>
    </row>
    <row r="1844" spans="1:2" x14ac:dyDescent="0.25">
      <c r="A1844" t="s">
        <v>2009</v>
      </c>
      <c r="B1844" s="24">
        <v>37</v>
      </c>
    </row>
    <row r="1845" spans="1:2" x14ac:dyDescent="0.25">
      <c r="A1845" t="s">
        <v>2010</v>
      </c>
      <c r="B1845" s="24">
        <v>37</v>
      </c>
    </row>
    <row r="1846" spans="1:2" x14ac:dyDescent="0.25">
      <c r="A1846" t="s">
        <v>2011</v>
      </c>
      <c r="B1846" s="24">
        <v>37</v>
      </c>
    </row>
    <row r="1847" spans="1:2" x14ac:dyDescent="0.25">
      <c r="A1847" t="s">
        <v>2012</v>
      </c>
      <c r="B1847" s="24">
        <v>36</v>
      </c>
    </row>
    <row r="1848" spans="1:2" x14ac:dyDescent="0.25">
      <c r="A1848" t="s">
        <v>2013</v>
      </c>
      <c r="B1848" s="24">
        <v>36</v>
      </c>
    </row>
    <row r="1849" spans="1:2" x14ac:dyDescent="0.25">
      <c r="A1849" t="s">
        <v>2014</v>
      </c>
      <c r="B1849" s="24">
        <v>36</v>
      </c>
    </row>
    <row r="1850" spans="1:2" x14ac:dyDescent="0.25">
      <c r="A1850" t="s">
        <v>2015</v>
      </c>
      <c r="B1850" s="24">
        <v>36</v>
      </c>
    </row>
    <row r="1851" spans="1:2" x14ac:dyDescent="0.25">
      <c r="A1851" t="s">
        <v>2016</v>
      </c>
      <c r="B1851" s="24">
        <v>36</v>
      </c>
    </row>
    <row r="1852" spans="1:2" x14ac:dyDescent="0.25">
      <c r="A1852" t="s">
        <v>2017</v>
      </c>
      <c r="B1852" s="24">
        <v>35</v>
      </c>
    </row>
    <row r="1853" spans="1:2" x14ac:dyDescent="0.25">
      <c r="A1853" t="s">
        <v>2018</v>
      </c>
      <c r="B1853" s="24">
        <v>35</v>
      </c>
    </row>
    <row r="1854" spans="1:2" x14ac:dyDescent="0.25">
      <c r="A1854" t="s">
        <v>2019</v>
      </c>
      <c r="B1854" s="24">
        <v>35</v>
      </c>
    </row>
    <row r="1855" spans="1:2" x14ac:dyDescent="0.25">
      <c r="A1855" t="s">
        <v>2020</v>
      </c>
      <c r="B1855" s="24">
        <v>35</v>
      </c>
    </row>
    <row r="1856" spans="1:2" x14ac:dyDescent="0.25">
      <c r="A1856" t="s">
        <v>2021</v>
      </c>
      <c r="B1856" s="24">
        <v>35</v>
      </c>
    </row>
    <row r="1857" spans="1:2" x14ac:dyDescent="0.25">
      <c r="A1857" t="s">
        <v>2022</v>
      </c>
      <c r="B1857" s="24">
        <v>34</v>
      </c>
    </row>
    <row r="1858" spans="1:2" x14ac:dyDescent="0.25">
      <c r="A1858" t="s">
        <v>2023</v>
      </c>
      <c r="B1858" s="24">
        <v>34</v>
      </c>
    </row>
    <row r="1859" spans="1:2" x14ac:dyDescent="0.25">
      <c r="A1859" t="s">
        <v>2024</v>
      </c>
      <c r="B1859" s="24">
        <v>34</v>
      </c>
    </row>
    <row r="1860" spans="1:2" x14ac:dyDescent="0.25">
      <c r="A1860" t="s">
        <v>2025</v>
      </c>
      <c r="B1860" s="24">
        <v>34</v>
      </c>
    </row>
    <row r="1861" spans="1:2" x14ac:dyDescent="0.25">
      <c r="A1861" t="s">
        <v>2026</v>
      </c>
      <c r="B1861" s="24">
        <v>34</v>
      </c>
    </row>
    <row r="1862" spans="1:2" x14ac:dyDescent="0.25">
      <c r="A1862" t="s">
        <v>2027</v>
      </c>
      <c r="B1862" s="24">
        <v>33</v>
      </c>
    </row>
    <row r="1863" spans="1:2" x14ac:dyDescent="0.25">
      <c r="A1863" t="s">
        <v>2028</v>
      </c>
      <c r="B1863" s="24">
        <v>33</v>
      </c>
    </row>
    <row r="1864" spans="1:2" x14ac:dyDescent="0.25">
      <c r="A1864" t="s">
        <v>2029</v>
      </c>
      <c r="B1864" s="24">
        <v>33</v>
      </c>
    </row>
    <row r="1865" spans="1:2" x14ac:dyDescent="0.25">
      <c r="A1865" t="s">
        <v>2030</v>
      </c>
      <c r="B1865" s="24">
        <v>33</v>
      </c>
    </row>
    <row r="1866" spans="1:2" x14ac:dyDescent="0.25">
      <c r="A1866" t="s">
        <v>2031</v>
      </c>
      <c r="B1866" s="24">
        <v>33</v>
      </c>
    </row>
    <row r="1867" spans="1:2" x14ac:dyDescent="0.25">
      <c r="A1867" t="s">
        <v>2032</v>
      </c>
      <c r="B1867" s="24">
        <v>32</v>
      </c>
    </row>
    <row r="1868" spans="1:2" x14ac:dyDescent="0.25">
      <c r="A1868" t="s">
        <v>2033</v>
      </c>
      <c r="B1868" s="24">
        <v>32</v>
      </c>
    </row>
    <row r="1869" spans="1:2" x14ac:dyDescent="0.25">
      <c r="A1869" t="s">
        <v>2034</v>
      </c>
      <c r="B1869" s="24">
        <v>32</v>
      </c>
    </row>
    <row r="1870" spans="1:2" x14ac:dyDescent="0.25">
      <c r="A1870" t="s">
        <v>2035</v>
      </c>
      <c r="B1870" s="24">
        <v>32</v>
      </c>
    </row>
    <row r="1871" spans="1:2" x14ac:dyDescent="0.25">
      <c r="A1871" t="s">
        <v>2036</v>
      </c>
      <c r="B1871" s="24">
        <v>32</v>
      </c>
    </row>
    <row r="1872" spans="1:2" x14ac:dyDescent="0.25">
      <c r="A1872" t="s">
        <v>2037</v>
      </c>
      <c r="B1872" s="24">
        <v>31</v>
      </c>
    </row>
    <row r="1873" spans="1:2" x14ac:dyDescent="0.25">
      <c r="A1873" t="s">
        <v>2038</v>
      </c>
      <c r="B1873" s="24">
        <v>31</v>
      </c>
    </row>
    <row r="1874" spans="1:2" x14ac:dyDescent="0.25">
      <c r="A1874" t="s">
        <v>2039</v>
      </c>
      <c r="B1874" s="24">
        <v>31</v>
      </c>
    </row>
    <row r="1875" spans="1:2" x14ac:dyDescent="0.25">
      <c r="A1875" t="s">
        <v>2040</v>
      </c>
      <c r="B1875" s="24">
        <v>31</v>
      </c>
    </row>
    <row r="1876" spans="1:2" x14ac:dyDescent="0.25">
      <c r="A1876" t="s">
        <v>2041</v>
      </c>
      <c r="B1876" s="24">
        <v>31</v>
      </c>
    </row>
    <row r="1877" spans="1:2" x14ac:dyDescent="0.25">
      <c r="A1877" t="s">
        <v>2042</v>
      </c>
      <c r="B1877" s="24">
        <v>30</v>
      </c>
    </row>
    <row r="1878" spans="1:2" x14ac:dyDescent="0.25">
      <c r="A1878" t="s">
        <v>2043</v>
      </c>
      <c r="B1878" s="24">
        <v>30</v>
      </c>
    </row>
    <row r="1879" spans="1:2" x14ac:dyDescent="0.25">
      <c r="A1879" t="s">
        <v>2044</v>
      </c>
      <c r="B1879" s="24">
        <v>30</v>
      </c>
    </row>
    <row r="1880" spans="1:2" x14ac:dyDescent="0.25">
      <c r="A1880" t="s">
        <v>2045</v>
      </c>
      <c r="B1880" s="24">
        <v>30</v>
      </c>
    </row>
    <row r="1881" spans="1:2" x14ac:dyDescent="0.25">
      <c r="A1881" t="s">
        <v>2046</v>
      </c>
      <c r="B1881" s="24">
        <v>30</v>
      </c>
    </row>
    <row r="1882" spans="1:2" x14ac:dyDescent="0.25">
      <c r="A1882" t="s">
        <v>2047</v>
      </c>
      <c r="B1882" s="24">
        <v>29</v>
      </c>
    </row>
    <row r="1883" spans="1:2" x14ac:dyDescent="0.25">
      <c r="A1883" t="s">
        <v>2048</v>
      </c>
      <c r="B1883" s="24">
        <v>29</v>
      </c>
    </row>
    <row r="1884" spans="1:2" x14ac:dyDescent="0.25">
      <c r="A1884" t="s">
        <v>2049</v>
      </c>
      <c r="B1884" s="24">
        <v>29</v>
      </c>
    </row>
    <row r="1885" spans="1:2" x14ac:dyDescent="0.25">
      <c r="A1885" t="s">
        <v>2050</v>
      </c>
      <c r="B1885" s="24">
        <v>29</v>
      </c>
    </row>
    <row r="1886" spans="1:2" x14ac:dyDescent="0.25">
      <c r="A1886" t="s">
        <v>2051</v>
      </c>
      <c r="B1886" s="24">
        <v>29</v>
      </c>
    </row>
    <row r="1887" spans="1:2" x14ac:dyDescent="0.25">
      <c r="A1887" t="s">
        <v>2052</v>
      </c>
      <c r="B1887" s="24">
        <v>28</v>
      </c>
    </row>
    <row r="1888" spans="1:2" x14ac:dyDescent="0.25">
      <c r="A1888" t="s">
        <v>2053</v>
      </c>
      <c r="B1888" s="24">
        <v>28</v>
      </c>
    </row>
    <row r="1889" spans="1:2" x14ac:dyDescent="0.25">
      <c r="A1889" t="s">
        <v>2054</v>
      </c>
      <c r="B1889" s="24">
        <v>28</v>
      </c>
    </row>
    <row r="1890" spans="1:2" x14ac:dyDescent="0.25">
      <c r="A1890" t="s">
        <v>2055</v>
      </c>
      <c r="B1890" s="24">
        <v>28</v>
      </c>
    </row>
    <row r="1891" spans="1:2" x14ac:dyDescent="0.25">
      <c r="A1891" t="s">
        <v>2056</v>
      </c>
      <c r="B1891" s="24">
        <v>28</v>
      </c>
    </row>
    <row r="1892" spans="1:2" x14ac:dyDescent="0.25">
      <c r="A1892" t="s">
        <v>2057</v>
      </c>
      <c r="B1892" s="24">
        <v>27</v>
      </c>
    </row>
    <row r="1893" spans="1:2" x14ac:dyDescent="0.25">
      <c r="A1893" t="s">
        <v>2058</v>
      </c>
      <c r="B1893" s="24">
        <v>27</v>
      </c>
    </row>
    <row r="1894" spans="1:2" x14ac:dyDescent="0.25">
      <c r="A1894" t="s">
        <v>2059</v>
      </c>
      <c r="B1894" s="24">
        <v>27</v>
      </c>
    </row>
    <row r="1895" spans="1:2" x14ac:dyDescent="0.25">
      <c r="A1895" t="s">
        <v>2060</v>
      </c>
      <c r="B1895" s="24">
        <v>27</v>
      </c>
    </row>
    <row r="1896" spans="1:2" x14ac:dyDescent="0.25">
      <c r="A1896" t="s">
        <v>2061</v>
      </c>
      <c r="B1896" s="24">
        <v>27</v>
      </c>
    </row>
    <row r="1897" spans="1:2" x14ac:dyDescent="0.25">
      <c r="A1897" t="s">
        <v>2062</v>
      </c>
      <c r="B1897" s="24">
        <v>26</v>
      </c>
    </row>
    <row r="1898" spans="1:2" x14ac:dyDescent="0.25">
      <c r="A1898" t="s">
        <v>2063</v>
      </c>
      <c r="B1898" s="24">
        <v>26</v>
      </c>
    </row>
    <row r="1899" spans="1:2" x14ac:dyDescent="0.25">
      <c r="A1899" t="s">
        <v>2064</v>
      </c>
      <c r="B1899" s="24">
        <v>26</v>
      </c>
    </row>
    <row r="1900" spans="1:2" x14ac:dyDescent="0.25">
      <c r="A1900" t="s">
        <v>2065</v>
      </c>
      <c r="B1900" s="24">
        <v>26</v>
      </c>
    </row>
    <row r="1901" spans="1:2" x14ac:dyDescent="0.25">
      <c r="A1901" t="s">
        <v>2066</v>
      </c>
      <c r="B1901" s="24">
        <v>26</v>
      </c>
    </row>
    <row r="1902" spans="1:2" x14ac:dyDescent="0.25">
      <c r="A1902" t="s">
        <v>2067</v>
      </c>
      <c r="B1902" s="24">
        <v>25</v>
      </c>
    </row>
    <row r="1903" spans="1:2" x14ac:dyDescent="0.25">
      <c r="A1903" t="s">
        <v>2068</v>
      </c>
      <c r="B1903" s="24">
        <v>25</v>
      </c>
    </row>
    <row r="1904" spans="1:2" x14ac:dyDescent="0.25">
      <c r="A1904" t="s">
        <v>2069</v>
      </c>
      <c r="B1904" s="24">
        <v>25</v>
      </c>
    </row>
    <row r="1905" spans="1:2" x14ac:dyDescent="0.25">
      <c r="A1905" t="s">
        <v>2070</v>
      </c>
      <c r="B1905" s="24">
        <v>25</v>
      </c>
    </row>
    <row r="1906" spans="1:2" x14ac:dyDescent="0.25">
      <c r="A1906" t="s">
        <v>2071</v>
      </c>
      <c r="B1906" s="24">
        <v>25</v>
      </c>
    </row>
    <row r="1907" spans="1:2" x14ac:dyDescent="0.25">
      <c r="A1907" t="s">
        <v>2072</v>
      </c>
      <c r="B1907" s="24">
        <v>25</v>
      </c>
    </row>
    <row r="1908" spans="1:2" x14ac:dyDescent="0.25">
      <c r="A1908" t="s">
        <v>2073</v>
      </c>
      <c r="B1908" s="24">
        <v>25</v>
      </c>
    </row>
    <row r="1909" spans="1:2" x14ac:dyDescent="0.25">
      <c r="A1909" t="s">
        <v>2074</v>
      </c>
      <c r="B1909" s="24">
        <v>25</v>
      </c>
    </row>
    <row r="1910" spans="1:2" x14ac:dyDescent="0.25">
      <c r="A1910" t="s">
        <v>2075</v>
      </c>
      <c r="B1910" s="24">
        <v>25</v>
      </c>
    </row>
    <row r="1911" spans="1:2" x14ac:dyDescent="0.25">
      <c r="A1911" t="s">
        <v>2076</v>
      </c>
      <c r="B1911" s="24">
        <v>25</v>
      </c>
    </row>
    <row r="1912" spans="1:2" x14ac:dyDescent="0.25">
      <c r="A1912" t="s">
        <v>2077</v>
      </c>
      <c r="B1912" s="24">
        <v>24</v>
      </c>
    </row>
    <row r="1913" spans="1:2" x14ac:dyDescent="0.25">
      <c r="A1913" t="s">
        <v>2078</v>
      </c>
      <c r="B1913" s="24">
        <v>24</v>
      </c>
    </row>
    <row r="1914" spans="1:2" x14ac:dyDescent="0.25">
      <c r="A1914" t="s">
        <v>2079</v>
      </c>
      <c r="B1914" s="24">
        <v>24</v>
      </c>
    </row>
    <row r="1915" spans="1:2" x14ac:dyDescent="0.25">
      <c r="A1915" t="s">
        <v>2080</v>
      </c>
      <c r="B1915" s="24">
        <v>24</v>
      </c>
    </row>
    <row r="1916" spans="1:2" x14ac:dyDescent="0.25">
      <c r="A1916" t="s">
        <v>2081</v>
      </c>
      <c r="B1916" s="24">
        <v>24</v>
      </c>
    </row>
    <row r="1917" spans="1:2" x14ac:dyDescent="0.25">
      <c r="A1917" t="s">
        <v>2082</v>
      </c>
      <c r="B1917" s="24">
        <v>24</v>
      </c>
    </row>
    <row r="1918" spans="1:2" x14ac:dyDescent="0.25">
      <c r="A1918" t="s">
        <v>2083</v>
      </c>
      <c r="B1918" s="24">
        <v>24</v>
      </c>
    </row>
    <row r="1919" spans="1:2" x14ac:dyDescent="0.25">
      <c r="A1919" t="s">
        <v>2084</v>
      </c>
      <c r="B1919" s="24">
        <v>24</v>
      </c>
    </row>
    <row r="1920" spans="1:2" x14ac:dyDescent="0.25">
      <c r="A1920" t="s">
        <v>2085</v>
      </c>
      <c r="B1920" s="24">
        <v>24</v>
      </c>
    </row>
    <row r="1921" spans="1:2" x14ac:dyDescent="0.25">
      <c r="A1921" t="s">
        <v>2086</v>
      </c>
      <c r="B1921" s="24">
        <v>24</v>
      </c>
    </row>
    <row r="1922" spans="1:2" x14ac:dyDescent="0.25">
      <c r="A1922" t="s">
        <v>2087</v>
      </c>
      <c r="B1922" s="24">
        <v>23</v>
      </c>
    </row>
    <row r="1923" spans="1:2" x14ac:dyDescent="0.25">
      <c r="A1923" t="s">
        <v>2088</v>
      </c>
      <c r="B1923" s="24">
        <v>23</v>
      </c>
    </row>
    <row r="1924" spans="1:2" x14ac:dyDescent="0.25">
      <c r="A1924" t="s">
        <v>2089</v>
      </c>
      <c r="B1924" s="24">
        <v>23</v>
      </c>
    </row>
    <row r="1925" spans="1:2" x14ac:dyDescent="0.25">
      <c r="A1925" t="s">
        <v>2090</v>
      </c>
      <c r="B1925" s="24">
        <v>23</v>
      </c>
    </row>
    <row r="1926" spans="1:2" x14ac:dyDescent="0.25">
      <c r="A1926" t="s">
        <v>2091</v>
      </c>
      <c r="B1926" s="24">
        <v>23</v>
      </c>
    </row>
    <row r="1927" spans="1:2" x14ac:dyDescent="0.25">
      <c r="A1927" t="s">
        <v>2092</v>
      </c>
      <c r="B1927" s="24">
        <v>23</v>
      </c>
    </row>
    <row r="1928" spans="1:2" x14ac:dyDescent="0.25">
      <c r="A1928" t="s">
        <v>2093</v>
      </c>
      <c r="B1928" s="24">
        <v>23</v>
      </c>
    </row>
    <row r="1929" spans="1:2" x14ac:dyDescent="0.25">
      <c r="A1929" t="s">
        <v>2094</v>
      </c>
      <c r="B1929" s="24">
        <v>23</v>
      </c>
    </row>
    <row r="1930" spans="1:2" x14ac:dyDescent="0.25">
      <c r="A1930" t="s">
        <v>2095</v>
      </c>
      <c r="B1930" s="24">
        <v>23</v>
      </c>
    </row>
    <row r="1931" spans="1:2" x14ac:dyDescent="0.25">
      <c r="A1931" t="s">
        <v>2096</v>
      </c>
      <c r="B1931" s="24">
        <v>23</v>
      </c>
    </row>
    <row r="1932" spans="1:2" x14ac:dyDescent="0.25">
      <c r="A1932" t="s">
        <v>2097</v>
      </c>
      <c r="B1932" s="24">
        <v>22</v>
      </c>
    </row>
    <row r="1933" spans="1:2" x14ac:dyDescent="0.25">
      <c r="A1933" t="s">
        <v>2098</v>
      </c>
      <c r="B1933" s="24">
        <v>22</v>
      </c>
    </row>
    <row r="1934" spans="1:2" x14ac:dyDescent="0.25">
      <c r="A1934" t="s">
        <v>2099</v>
      </c>
      <c r="B1934" s="24">
        <v>22</v>
      </c>
    </row>
    <row r="1935" spans="1:2" x14ac:dyDescent="0.25">
      <c r="A1935" t="s">
        <v>2100</v>
      </c>
      <c r="B1935" s="24">
        <v>22</v>
      </c>
    </row>
    <row r="1936" spans="1:2" x14ac:dyDescent="0.25">
      <c r="A1936" t="s">
        <v>2101</v>
      </c>
      <c r="B1936" s="24">
        <v>22</v>
      </c>
    </row>
    <row r="1937" spans="1:2" x14ac:dyDescent="0.25">
      <c r="A1937" t="s">
        <v>2102</v>
      </c>
      <c r="B1937" s="24">
        <v>22</v>
      </c>
    </row>
    <row r="1938" spans="1:2" x14ac:dyDescent="0.25">
      <c r="A1938" t="s">
        <v>2103</v>
      </c>
      <c r="B1938" s="24">
        <v>22</v>
      </c>
    </row>
    <row r="1939" spans="1:2" x14ac:dyDescent="0.25">
      <c r="A1939" t="s">
        <v>2104</v>
      </c>
      <c r="B1939" s="24">
        <v>22</v>
      </c>
    </row>
    <row r="1940" spans="1:2" x14ac:dyDescent="0.25">
      <c r="A1940" t="s">
        <v>2105</v>
      </c>
      <c r="B1940" s="24">
        <v>22</v>
      </c>
    </row>
    <row r="1941" spans="1:2" x14ac:dyDescent="0.25">
      <c r="A1941" t="s">
        <v>2106</v>
      </c>
      <c r="B1941" s="24">
        <v>22</v>
      </c>
    </row>
    <row r="1942" spans="1:2" x14ac:dyDescent="0.25">
      <c r="A1942" t="s">
        <v>2107</v>
      </c>
      <c r="B1942" s="24">
        <v>21</v>
      </c>
    </row>
    <row r="1943" spans="1:2" x14ac:dyDescent="0.25">
      <c r="A1943" t="s">
        <v>2108</v>
      </c>
      <c r="B1943" s="24">
        <v>21</v>
      </c>
    </row>
    <row r="1944" spans="1:2" x14ac:dyDescent="0.25">
      <c r="A1944" t="s">
        <v>2109</v>
      </c>
      <c r="B1944" s="24">
        <v>21</v>
      </c>
    </row>
    <row r="1945" spans="1:2" x14ac:dyDescent="0.25">
      <c r="A1945" t="s">
        <v>2110</v>
      </c>
      <c r="B1945" s="24">
        <v>21</v>
      </c>
    </row>
    <row r="1946" spans="1:2" x14ac:dyDescent="0.25">
      <c r="A1946" t="s">
        <v>2111</v>
      </c>
      <c r="B1946" s="24">
        <v>21</v>
      </c>
    </row>
    <row r="1947" spans="1:2" x14ac:dyDescent="0.25">
      <c r="A1947" t="s">
        <v>2112</v>
      </c>
      <c r="B1947" s="24">
        <v>21</v>
      </c>
    </row>
    <row r="1948" spans="1:2" x14ac:dyDescent="0.25">
      <c r="A1948" t="s">
        <v>2113</v>
      </c>
      <c r="B1948" s="24">
        <v>21</v>
      </c>
    </row>
    <row r="1949" spans="1:2" x14ac:dyDescent="0.25">
      <c r="A1949" t="s">
        <v>2114</v>
      </c>
      <c r="B1949" s="24">
        <v>21</v>
      </c>
    </row>
    <row r="1950" spans="1:2" x14ac:dyDescent="0.25">
      <c r="A1950" t="s">
        <v>2115</v>
      </c>
      <c r="B1950" s="24">
        <v>21</v>
      </c>
    </row>
    <row r="1951" spans="1:2" x14ac:dyDescent="0.25">
      <c r="A1951" t="s">
        <v>2116</v>
      </c>
      <c r="B1951" s="24">
        <v>21</v>
      </c>
    </row>
    <row r="1952" spans="1:2" x14ac:dyDescent="0.25">
      <c r="A1952" t="s">
        <v>2117</v>
      </c>
      <c r="B1952" s="24">
        <v>20</v>
      </c>
    </row>
    <row r="1953" spans="1:2" x14ac:dyDescent="0.25">
      <c r="A1953" t="s">
        <v>2118</v>
      </c>
      <c r="B1953" s="24">
        <v>20</v>
      </c>
    </row>
    <row r="1954" spans="1:2" x14ac:dyDescent="0.25">
      <c r="A1954" t="s">
        <v>2119</v>
      </c>
      <c r="B1954" s="24">
        <v>20</v>
      </c>
    </row>
    <row r="1955" spans="1:2" x14ac:dyDescent="0.25">
      <c r="A1955" t="s">
        <v>2120</v>
      </c>
      <c r="B1955" s="24">
        <v>20</v>
      </c>
    </row>
    <row r="1956" spans="1:2" x14ac:dyDescent="0.25">
      <c r="A1956" t="s">
        <v>2121</v>
      </c>
      <c r="B1956" s="24">
        <v>20</v>
      </c>
    </row>
    <row r="1957" spans="1:2" x14ac:dyDescent="0.25">
      <c r="A1957" t="s">
        <v>2122</v>
      </c>
      <c r="B1957" s="24">
        <v>20</v>
      </c>
    </row>
    <row r="1958" spans="1:2" x14ac:dyDescent="0.25">
      <c r="A1958" t="s">
        <v>2123</v>
      </c>
      <c r="B1958" s="24">
        <v>20</v>
      </c>
    </row>
    <row r="1959" spans="1:2" x14ac:dyDescent="0.25">
      <c r="A1959" t="s">
        <v>2124</v>
      </c>
      <c r="B1959" s="24">
        <v>20</v>
      </c>
    </row>
    <row r="1960" spans="1:2" x14ac:dyDescent="0.25">
      <c r="A1960" t="s">
        <v>2125</v>
      </c>
      <c r="B1960" s="24">
        <v>20</v>
      </c>
    </row>
    <row r="1961" spans="1:2" x14ac:dyDescent="0.25">
      <c r="A1961" t="s">
        <v>2126</v>
      </c>
      <c r="B1961" s="24">
        <v>20</v>
      </c>
    </row>
    <row r="1962" spans="1:2" x14ac:dyDescent="0.25">
      <c r="A1962" t="s">
        <v>2127</v>
      </c>
      <c r="B1962" s="24">
        <v>19</v>
      </c>
    </row>
    <row r="1963" spans="1:2" x14ac:dyDescent="0.25">
      <c r="A1963" t="s">
        <v>2128</v>
      </c>
      <c r="B1963" s="24">
        <v>19</v>
      </c>
    </row>
    <row r="1964" spans="1:2" x14ac:dyDescent="0.25">
      <c r="A1964" t="s">
        <v>2129</v>
      </c>
      <c r="B1964" s="24">
        <v>19</v>
      </c>
    </row>
    <row r="1965" spans="1:2" x14ac:dyDescent="0.25">
      <c r="A1965" t="s">
        <v>2130</v>
      </c>
      <c r="B1965" s="24">
        <v>19</v>
      </c>
    </row>
    <row r="1966" spans="1:2" x14ac:dyDescent="0.25">
      <c r="A1966" t="s">
        <v>2131</v>
      </c>
      <c r="B1966" s="24">
        <v>19</v>
      </c>
    </row>
    <row r="1967" spans="1:2" x14ac:dyDescent="0.25">
      <c r="A1967" t="s">
        <v>2132</v>
      </c>
      <c r="B1967" s="24">
        <v>19</v>
      </c>
    </row>
    <row r="1968" spans="1:2" x14ac:dyDescent="0.25">
      <c r="A1968" t="s">
        <v>2133</v>
      </c>
      <c r="B1968" s="24">
        <v>19</v>
      </c>
    </row>
    <row r="1969" spans="1:2" x14ac:dyDescent="0.25">
      <c r="A1969" t="s">
        <v>2134</v>
      </c>
      <c r="B1969" s="24">
        <v>19</v>
      </c>
    </row>
    <row r="1970" spans="1:2" x14ac:dyDescent="0.25">
      <c r="A1970" t="s">
        <v>2135</v>
      </c>
      <c r="B1970" s="24">
        <v>19</v>
      </c>
    </row>
    <row r="1971" spans="1:2" x14ac:dyDescent="0.25">
      <c r="A1971" t="s">
        <v>2136</v>
      </c>
      <c r="B1971" s="24">
        <v>19</v>
      </c>
    </row>
    <row r="1972" spans="1:2" x14ac:dyDescent="0.25">
      <c r="A1972" t="s">
        <v>2137</v>
      </c>
      <c r="B1972" s="24">
        <v>18</v>
      </c>
    </row>
    <row r="1973" spans="1:2" x14ac:dyDescent="0.25">
      <c r="A1973" t="s">
        <v>2138</v>
      </c>
      <c r="B1973" s="24">
        <v>18</v>
      </c>
    </row>
    <row r="1974" spans="1:2" x14ac:dyDescent="0.25">
      <c r="A1974" t="s">
        <v>2139</v>
      </c>
      <c r="B1974" s="24">
        <v>18</v>
      </c>
    </row>
    <row r="1975" spans="1:2" x14ac:dyDescent="0.25">
      <c r="A1975" t="s">
        <v>2140</v>
      </c>
      <c r="B1975" s="24">
        <v>18</v>
      </c>
    </row>
    <row r="1976" spans="1:2" x14ac:dyDescent="0.25">
      <c r="A1976" t="s">
        <v>2141</v>
      </c>
      <c r="B1976" s="24">
        <v>18</v>
      </c>
    </row>
    <row r="1977" spans="1:2" x14ac:dyDescent="0.25">
      <c r="A1977" t="s">
        <v>2142</v>
      </c>
      <c r="B1977" s="24">
        <v>18</v>
      </c>
    </row>
    <row r="1978" spans="1:2" x14ac:dyDescent="0.25">
      <c r="A1978" t="s">
        <v>2143</v>
      </c>
      <c r="B1978" s="24">
        <v>18</v>
      </c>
    </row>
    <row r="1979" spans="1:2" x14ac:dyDescent="0.25">
      <c r="A1979" t="s">
        <v>2144</v>
      </c>
      <c r="B1979" s="24">
        <v>18</v>
      </c>
    </row>
    <row r="1980" spans="1:2" x14ac:dyDescent="0.25">
      <c r="A1980" t="s">
        <v>2145</v>
      </c>
      <c r="B1980" s="24">
        <v>18</v>
      </c>
    </row>
    <row r="1981" spans="1:2" x14ac:dyDescent="0.25">
      <c r="A1981" t="s">
        <v>2146</v>
      </c>
      <c r="B1981" s="24">
        <v>18</v>
      </c>
    </row>
    <row r="1982" spans="1:2" x14ac:dyDescent="0.25">
      <c r="A1982" t="s">
        <v>2147</v>
      </c>
      <c r="B1982" s="24">
        <v>17</v>
      </c>
    </row>
    <row r="1983" spans="1:2" x14ac:dyDescent="0.25">
      <c r="A1983" t="s">
        <v>2148</v>
      </c>
      <c r="B1983" s="24">
        <v>17</v>
      </c>
    </row>
    <row r="1984" spans="1:2" x14ac:dyDescent="0.25">
      <c r="A1984" t="s">
        <v>2149</v>
      </c>
      <c r="B1984" s="24">
        <v>17</v>
      </c>
    </row>
    <row r="1985" spans="1:2" x14ac:dyDescent="0.25">
      <c r="A1985" t="s">
        <v>2150</v>
      </c>
      <c r="B1985" s="24">
        <v>17</v>
      </c>
    </row>
    <row r="1986" spans="1:2" x14ac:dyDescent="0.25">
      <c r="A1986" t="s">
        <v>2151</v>
      </c>
      <c r="B1986" s="24">
        <v>17</v>
      </c>
    </row>
    <row r="1987" spans="1:2" x14ac:dyDescent="0.25">
      <c r="A1987" t="s">
        <v>2152</v>
      </c>
      <c r="B1987" s="24">
        <v>17</v>
      </c>
    </row>
    <row r="1988" spans="1:2" x14ac:dyDescent="0.25">
      <c r="A1988" t="s">
        <v>2153</v>
      </c>
      <c r="B1988" s="24">
        <v>17</v>
      </c>
    </row>
    <row r="1989" spans="1:2" x14ac:dyDescent="0.25">
      <c r="A1989" t="s">
        <v>2154</v>
      </c>
      <c r="B1989" s="24">
        <v>17</v>
      </c>
    </row>
    <row r="1990" spans="1:2" x14ac:dyDescent="0.25">
      <c r="A1990" t="s">
        <v>2155</v>
      </c>
      <c r="B1990" s="24">
        <v>17</v>
      </c>
    </row>
    <row r="1991" spans="1:2" x14ac:dyDescent="0.25">
      <c r="A1991" t="s">
        <v>2156</v>
      </c>
      <c r="B1991" s="24">
        <v>17</v>
      </c>
    </row>
    <row r="1992" spans="1:2" x14ac:dyDescent="0.25">
      <c r="A1992" t="s">
        <v>2157</v>
      </c>
      <c r="B1992" s="24">
        <v>16</v>
      </c>
    </row>
    <row r="1993" spans="1:2" x14ac:dyDescent="0.25">
      <c r="A1993" t="s">
        <v>2158</v>
      </c>
      <c r="B1993" s="24">
        <v>16</v>
      </c>
    </row>
    <row r="1994" spans="1:2" x14ac:dyDescent="0.25">
      <c r="A1994" t="s">
        <v>2159</v>
      </c>
      <c r="B1994" s="24">
        <v>16</v>
      </c>
    </row>
    <row r="1995" spans="1:2" x14ac:dyDescent="0.25">
      <c r="A1995" t="s">
        <v>2160</v>
      </c>
      <c r="B1995" s="24">
        <v>16</v>
      </c>
    </row>
    <row r="1996" spans="1:2" x14ac:dyDescent="0.25">
      <c r="A1996" t="s">
        <v>2161</v>
      </c>
      <c r="B1996" s="24">
        <v>16</v>
      </c>
    </row>
    <row r="1997" spans="1:2" x14ac:dyDescent="0.25">
      <c r="A1997" t="s">
        <v>2162</v>
      </c>
      <c r="B1997" s="24">
        <v>16</v>
      </c>
    </row>
    <row r="1998" spans="1:2" x14ac:dyDescent="0.25">
      <c r="A1998" t="s">
        <v>2163</v>
      </c>
      <c r="B1998" s="24">
        <v>16</v>
      </c>
    </row>
    <row r="1999" spans="1:2" x14ac:dyDescent="0.25">
      <c r="A1999" t="s">
        <v>2164</v>
      </c>
      <c r="B1999" s="24">
        <v>16</v>
      </c>
    </row>
    <row r="2000" spans="1:2" x14ac:dyDescent="0.25">
      <c r="A2000" t="s">
        <v>2165</v>
      </c>
      <c r="B2000" s="24">
        <v>16</v>
      </c>
    </row>
    <row r="2001" spans="1:2" x14ac:dyDescent="0.25">
      <c r="A2001" t="s">
        <v>2166</v>
      </c>
      <c r="B2001" s="24">
        <v>16</v>
      </c>
    </row>
    <row r="2002" spans="1:2" x14ac:dyDescent="0.25">
      <c r="A2002" t="s">
        <v>2167</v>
      </c>
      <c r="B2002" s="24">
        <v>15</v>
      </c>
    </row>
    <row r="2003" spans="1:2" x14ac:dyDescent="0.25">
      <c r="A2003" t="s">
        <v>2168</v>
      </c>
      <c r="B2003" s="24">
        <v>15</v>
      </c>
    </row>
    <row r="2004" spans="1:2" x14ac:dyDescent="0.25">
      <c r="A2004" t="s">
        <v>2169</v>
      </c>
      <c r="B2004" s="24">
        <v>15</v>
      </c>
    </row>
    <row r="2005" spans="1:2" x14ac:dyDescent="0.25">
      <c r="A2005" t="s">
        <v>2170</v>
      </c>
      <c r="B2005" s="24">
        <v>15</v>
      </c>
    </row>
    <row r="2006" spans="1:2" x14ac:dyDescent="0.25">
      <c r="A2006" t="s">
        <v>2171</v>
      </c>
      <c r="B2006" s="24">
        <v>15</v>
      </c>
    </row>
    <row r="2007" spans="1:2" x14ac:dyDescent="0.25">
      <c r="A2007" t="s">
        <v>2172</v>
      </c>
      <c r="B2007" s="24">
        <v>15</v>
      </c>
    </row>
    <row r="2008" spans="1:2" x14ac:dyDescent="0.25">
      <c r="A2008" t="s">
        <v>2173</v>
      </c>
      <c r="B2008" s="24">
        <v>15</v>
      </c>
    </row>
    <row r="2009" spans="1:2" x14ac:dyDescent="0.25">
      <c r="A2009" t="s">
        <v>2174</v>
      </c>
      <c r="B2009" s="24">
        <v>15</v>
      </c>
    </row>
    <row r="2010" spans="1:2" x14ac:dyDescent="0.25">
      <c r="A2010" t="s">
        <v>2175</v>
      </c>
      <c r="B2010" s="24">
        <v>15</v>
      </c>
    </row>
    <row r="2011" spans="1:2" x14ac:dyDescent="0.25">
      <c r="A2011" t="s">
        <v>2176</v>
      </c>
      <c r="B2011" s="24">
        <v>15</v>
      </c>
    </row>
    <row r="2012" spans="1:2" x14ac:dyDescent="0.25">
      <c r="A2012" t="s">
        <v>2177</v>
      </c>
      <c r="B2012" s="24">
        <v>14</v>
      </c>
    </row>
    <row r="2013" spans="1:2" x14ac:dyDescent="0.25">
      <c r="A2013" t="s">
        <v>2178</v>
      </c>
      <c r="B2013" s="24">
        <v>14</v>
      </c>
    </row>
    <row r="2014" spans="1:2" x14ac:dyDescent="0.25">
      <c r="A2014" t="s">
        <v>2179</v>
      </c>
      <c r="B2014" s="24">
        <v>14</v>
      </c>
    </row>
    <row r="2015" spans="1:2" x14ac:dyDescent="0.25">
      <c r="A2015" t="s">
        <v>2180</v>
      </c>
      <c r="B2015" s="24">
        <v>14</v>
      </c>
    </row>
    <row r="2016" spans="1:2" x14ac:dyDescent="0.25">
      <c r="A2016" t="s">
        <v>2181</v>
      </c>
      <c r="B2016" s="24">
        <v>14</v>
      </c>
    </row>
    <row r="2017" spans="1:2" x14ac:dyDescent="0.25">
      <c r="A2017" t="s">
        <v>2182</v>
      </c>
      <c r="B2017" s="24">
        <v>14</v>
      </c>
    </row>
    <row r="2018" spans="1:2" x14ac:dyDescent="0.25">
      <c r="A2018" t="s">
        <v>2183</v>
      </c>
      <c r="B2018" s="24">
        <v>14</v>
      </c>
    </row>
    <row r="2019" spans="1:2" x14ac:dyDescent="0.25">
      <c r="A2019" t="s">
        <v>2184</v>
      </c>
      <c r="B2019" s="24">
        <v>14</v>
      </c>
    </row>
    <row r="2020" spans="1:2" x14ac:dyDescent="0.25">
      <c r="A2020" t="s">
        <v>2185</v>
      </c>
      <c r="B2020" s="24">
        <v>14</v>
      </c>
    </row>
    <row r="2021" spans="1:2" x14ac:dyDescent="0.25">
      <c r="A2021" t="s">
        <v>2186</v>
      </c>
      <c r="B2021" s="24">
        <v>14</v>
      </c>
    </row>
    <row r="2022" spans="1:2" x14ac:dyDescent="0.25">
      <c r="A2022" t="s">
        <v>2187</v>
      </c>
      <c r="B2022" s="24">
        <v>13</v>
      </c>
    </row>
    <row r="2023" spans="1:2" x14ac:dyDescent="0.25">
      <c r="A2023" t="s">
        <v>2188</v>
      </c>
      <c r="B2023" s="24">
        <v>13</v>
      </c>
    </row>
    <row r="2024" spans="1:2" x14ac:dyDescent="0.25">
      <c r="A2024" t="s">
        <v>2189</v>
      </c>
      <c r="B2024" s="24">
        <v>13</v>
      </c>
    </row>
    <row r="2025" spans="1:2" x14ac:dyDescent="0.25">
      <c r="A2025" t="s">
        <v>2190</v>
      </c>
      <c r="B2025" s="24">
        <v>13</v>
      </c>
    </row>
    <row r="2026" spans="1:2" x14ac:dyDescent="0.25">
      <c r="A2026" t="s">
        <v>2191</v>
      </c>
      <c r="B2026" s="24">
        <v>13</v>
      </c>
    </row>
    <row r="2027" spans="1:2" x14ac:dyDescent="0.25">
      <c r="A2027" t="s">
        <v>2192</v>
      </c>
      <c r="B2027" s="24">
        <v>13</v>
      </c>
    </row>
    <row r="2028" spans="1:2" x14ac:dyDescent="0.25">
      <c r="A2028" t="s">
        <v>2193</v>
      </c>
      <c r="B2028" s="24">
        <v>13</v>
      </c>
    </row>
    <row r="2029" spans="1:2" x14ac:dyDescent="0.25">
      <c r="A2029" t="s">
        <v>2194</v>
      </c>
      <c r="B2029" s="24">
        <v>13</v>
      </c>
    </row>
    <row r="2030" spans="1:2" x14ac:dyDescent="0.25">
      <c r="A2030" t="s">
        <v>2195</v>
      </c>
      <c r="B2030" s="24">
        <v>13</v>
      </c>
    </row>
    <row r="2031" spans="1:2" x14ac:dyDescent="0.25">
      <c r="A2031" t="s">
        <v>2196</v>
      </c>
      <c r="B2031" s="24">
        <v>13</v>
      </c>
    </row>
    <row r="2032" spans="1:2" x14ac:dyDescent="0.25">
      <c r="A2032" t="s">
        <v>2197</v>
      </c>
      <c r="B2032" s="24">
        <v>12</v>
      </c>
    </row>
    <row r="2033" spans="1:2" x14ac:dyDescent="0.25">
      <c r="A2033" t="s">
        <v>2198</v>
      </c>
      <c r="B2033" s="24">
        <v>12</v>
      </c>
    </row>
    <row r="2034" spans="1:2" x14ac:dyDescent="0.25">
      <c r="A2034" t="s">
        <v>2199</v>
      </c>
      <c r="B2034" s="24">
        <v>12</v>
      </c>
    </row>
    <row r="2035" spans="1:2" x14ac:dyDescent="0.25">
      <c r="A2035" t="s">
        <v>2200</v>
      </c>
      <c r="B2035" s="24">
        <v>12</v>
      </c>
    </row>
    <row r="2036" spans="1:2" x14ac:dyDescent="0.25">
      <c r="A2036" t="s">
        <v>2201</v>
      </c>
      <c r="B2036" s="24">
        <v>12</v>
      </c>
    </row>
    <row r="2037" spans="1:2" x14ac:dyDescent="0.25">
      <c r="A2037" t="s">
        <v>2202</v>
      </c>
      <c r="B2037" s="24">
        <v>12</v>
      </c>
    </row>
    <row r="2038" spans="1:2" x14ac:dyDescent="0.25">
      <c r="A2038" t="s">
        <v>2203</v>
      </c>
      <c r="B2038" s="24">
        <v>12</v>
      </c>
    </row>
    <row r="2039" spans="1:2" x14ac:dyDescent="0.25">
      <c r="A2039" t="s">
        <v>2204</v>
      </c>
      <c r="B2039" s="24">
        <v>12</v>
      </c>
    </row>
    <row r="2040" spans="1:2" x14ac:dyDescent="0.25">
      <c r="A2040" t="s">
        <v>2205</v>
      </c>
      <c r="B2040" s="24">
        <v>12</v>
      </c>
    </row>
    <row r="2041" spans="1:2" x14ac:dyDescent="0.25">
      <c r="A2041" t="s">
        <v>2206</v>
      </c>
      <c r="B2041" s="24">
        <v>12</v>
      </c>
    </row>
    <row r="2042" spans="1:2" x14ac:dyDescent="0.25">
      <c r="A2042" t="s">
        <v>2207</v>
      </c>
      <c r="B2042" s="24">
        <v>11</v>
      </c>
    </row>
    <row r="2043" spans="1:2" x14ac:dyDescent="0.25">
      <c r="A2043" t="s">
        <v>2208</v>
      </c>
      <c r="B2043" s="24">
        <v>11</v>
      </c>
    </row>
    <row r="2044" spans="1:2" x14ac:dyDescent="0.25">
      <c r="A2044" t="s">
        <v>2209</v>
      </c>
      <c r="B2044" s="24">
        <v>11</v>
      </c>
    </row>
    <row r="2045" spans="1:2" x14ac:dyDescent="0.25">
      <c r="A2045" t="s">
        <v>2210</v>
      </c>
      <c r="B2045" s="24">
        <v>11</v>
      </c>
    </row>
    <row r="2046" spans="1:2" x14ac:dyDescent="0.25">
      <c r="A2046" t="s">
        <v>2211</v>
      </c>
      <c r="B2046" s="24">
        <v>11</v>
      </c>
    </row>
    <row r="2047" spans="1:2" x14ac:dyDescent="0.25">
      <c r="A2047" t="s">
        <v>2212</v>
      </c>
      <c r="B2047" s="24">
        <v>11</v>
      </c>
    </row>
    <row r="2048" spans="1:2" x14ac:dyDescent="0.25">
      <c r="A2048" t="s">
        <v>2213</v>
      </c>
      <c r="B2048" s="24">
        <v>11</v>
      </c>
    </row>
    <row r="2049" spans="1:2" x14ac:dyDescent="0.25">
      <c r="A2049" t="s">
        <v>2214</v>
      </c>
      <c r="B2049" s="24">
        <v>11</v>
      </c>
    </row>
    <row r="2050" spans="1:2" x14ac:dyDescent="0.25">
      <c r="A2050" t="s">
        <v>2215</v>
      </c>
      <c r="B2050" s="24">
        <v>11</v>
      </c>
    </row>
    <row r="2051" spans="1:2" x14ac:dyDescent="0.25">
      <c r="A2051" t="s">
        <v>2216</v>
      </c>
      <c r="B2051" s="24">
        <v>11</v>
      </c>
    </row>
    <row r="2052" spans="1:2" x14ac:dyDescent="0.25">
      <c r="A2052" t="s">
        <v>2217</v>
      </c>
      <c r="B2052" s="24">
        <v>10</v>
      </c>
    </row>
    <row r="2053" spans="1:2" x14ac:dyDescent="0.25">
      <c r="A2053" t="s">
        <v>2218</v>
      </c>
      <c r="B2053" s="24">
        <v>10</v>
      </c>
    </row>
    <row r="2054" spans="1:2" x14ac:dyDescent="0.25">
      <c r="A2054" t="s">
        <v>2219</v>
      </c>
      <c r="B2054" s="24">
        <v>10</v>
      </c>
    </row>
    <row r="2055" spans="1:2" x14ac:dyDescent="0.25">
      <c r="A2055" t="s">
        <v>2220</v>
      </c>
      <c r="B2055" s="24">
        <v>10</v>
      </c>
    </row>
    <row r="2056" spans="1:2" x14ac:dyDescent="0.25">
      <c r="A2056" t="s">
        <v>2221</v>
      </c>
      <c r="B2056" s="24">
        <v>10</v>
      </c>
    </row>
    <row r="2057" spans="1:2" x14ac:dyDescent="0.25">
      <c r="A2057" t="s">
        <v>2222</v>
      </c>
      <c r="B2057" s="24">
        <v>10</v>
      </c>
    </row>
    <row r="2058" spans="1:2" x14ac:dyDescent="0.25">
      <c r="A2058" t="s">
        <v>2223</v>
      </c>
      <c r="B2058" s="24">
        <v>10</v>
      </c>
    </row>
    <row r="2059" spans="1:2" x14ac:dyDescent="0.25">
      <c r="A2059" t="s">
        <v>2224</v>
      </c>
      <c r="B2059" s="24">
        <v>10</v>
      </c>
    </row>
    <row r="2060" spans="1:2" x14ac:dyDescent="0.25">
      <c r="A2060" t="s">
        <v>2225</v>
      </c>
      <c r="B2060" s="24">
        <v>10</v>
      </c>
    </row>
    <row r="2061" spans="1:2" x14ac:dyDescent="0.25">
      <c r="A2061" t="s">
        <v>2226</v>
      </c>
      <c r="B2061" s="24">
        <v>10</v>
      </c>
    </row>
    <row r="2062" spans="1:2" x14ac:dyDescent="0.25">
      <c r="A2062" t="s">
        <v>2227</v>
      </c>
      <c r="B2062" s="24">
        <v>9</v>
      </c>
    </row>
    <row r="2063" spans="1:2" x14ac:dyDescent="0.25">
      <c r="A2063" t="s">
        <v>2228</v>
      </c>
      <c r="B2063" s="24">
        <v>9</v>
      </c>
    </row>
    <row r="2064" spans="1:2" x14ac:dyDescent="0.25">
      <c r="A2064" t="s">
        <v>2229</v>
      </c>
      <c r="B2064" s="24">
        <v>9</v>
      </c>
    </row>
    <row r="2065" spans="1:2" x14ac:dyDescent="0.25">
      <c r="A2065" t="s">
        <v>2230</v>
      </c>
      <c r="B2065" s="24">
        <v>9</v>
      </c>
    </row>
    <row r="2066" spans="1:2" x14ac:dyDescent="0.25">
      <c r="A2066" t="s">
        <v>2231</v>
      </c>
      <c r="B2066" s="24">
        <v>9</v>
      </c>
    </row>
    <row r="2067" spans="1:2" x14ac:dyDescent="0.25">
      <c r="A2067" t="s">
        <v>2232</v>
      </c>
      <c r="B2067" s="24">
        <v>9</v>
      </c>
    </row>
    <row r="2068" spans="1:2" x14ac:dyDescent="0.25">
      <c r="A2068" t="s">
        <v>2233</v>
      </c>
      <c r="B2068" s="24">
        <v>9</v>
      </c>
    </row>
    <row r="2069" spans="1:2" x14ac:dyDescent="0.25">
      <c r="A2069" t="s">
        <v>2234</v>
      </c>
      <c r="B2069" s="24">
        <v>9</v>
      </c>
    </row>
    <row r="2070" spans="1:2" x14ac:dyDescent="0.25">
      <c r="A2070" t="s">
        <v>2235</v>
      </c>
      <c r="B2070" s="24">
        <v>9</v>
      </c>
    </row>
    <row r="2071" spans="1:2" x14ac:dyDescent="0.25">
      <c r="A2071" t="s">
        <v>2236</v>
      </c>
      <c r="B2071" s="24">
        <v>9</v>
      </c>
    </row>
    <row r="2072" spans="1:2" x14ac:dyDescent="0.25">
      <c r="A2072" t="s">
        <v>2237</v>
      </c>
      <c r="B2072" s="24">
        <v>8</v>
      </c>
    </row>
    <row r="2073" spans="1:2" x14ac:dyDescent="0.25">
      <c r="A2073" t="s">
        <v>2238</v>
      </c>
      <c r="B2073" s="24">
        <v>8</v>
      </c>
    </row>
    <row r="2074" spans="1:2" x14ac:dyDescent="0.25">
      <c r="A2074" t="s">
        <v>2239</v>
      </c>
      <c r="B2074" s="24">
        <v>8</v>
      </c>
    </row>
    <row r="2075" spans="1:2" x14ac:dyDescent="0.25">
      <c r="A2075" t="s">
        <v>2240</v>
      </c>
      <c r="B2075" s="24">
        <v>8</v>
      </c>
    </row>
    <row r="2076" spans="1:2" x14ac:dyDescent="0.25">
      <c r="A2076" t="s">
        <v>2241</v>
      </c>
      <c r="B2076" s="24">
        <v>8</v>
      </c>
    </row>
    <row r="2077" spans="1:2" x14ac:dyDescent="0.25">
      <c r="A2077" t="s">
        <v>2242</v>
      </c>
      <c r="B2077" s="24">
        <v>8</v>
      </c>
    </row>
    <row r="2078" spans="1:2" x14ac:dyDescent="0.25">
      <c r="A2078" t="s">
        <v>2243</v>
      </c>
      <c r="B2078" s="24">
        <v>8</v>
      </c>
    </row>
    <row r="2079" spans="1:2" x14ac:dyDescent="0.25">
      <c r="A2079" t="s">
        <v>2244</v>
      </c>
      <c r="B2079" s="24">
        <v>8</v>
      </c>
    </row>
    <row r="2080" spans="1:2" x14ac:dyDescent="0.25">
      <c r="A2080" t="s">
        <v>2245</v>
      </c>
      <c r="B2080" s="24">
        <v>8</v>
      </c>
    </row>
    <row r="2081" spans="1:2" x14ac:dyDescent="0.25">
      <c r="A2081" t="s">
        <v>2246</v>
      </c>
      <c r="B2081" s="24">
        <v>8</v>
      </c>
    </row>
    <row r="2082" spans="1:2" x14ac:dyDescent="0.25">
      <c r="A2082" t="s">
        <v>2247</v>
      </c>
      <c r="B2082" s="24">
        <v>7</v>
      </c>
    </row>
    <row r="2083" spans="1:2" x14ac:dyDescent="0.25">
      <c r="A2083" t="s">
        <v>2248</v>
      </c>
      <c r="B2083" s="24">
        <v>7</v>
      </c>
    </row>
    <row r="2084" spans="1:2" x14ac:dyDescent="0.25">
      <c r="A2084" t="s">
        <v>2249</v>
      </c>
      <c r="B2084" s="24">
        <v>7</v>
      </c>
    </row>
    <row r="2085" spans="1:2" x14ac:dyDescent="0.25">
      <c r="A2085" t="s">
        <v>2250</v>
      </c>
      <c r="B2085" s="24">
        <v>7</v>
      </c>
    </row>
    <row r="2086" spans="1:2" x14ac:dyDescent="0.25">
      <c r="A2086" t="s">
        <v>2251</v>
      </c>
      <c r="B2086" s="24">
        <v>7</v>
      </c>
    </row>
    <row r="2087" spans="1:2" x14ac:dyDescent="0.25">
      <c r="A2087" t="s">
        <v>2252</v>
      </c>
      <c r="B2087" s="24">
        <v>7</v>
      </c>
    </row>
    <row r="2088" spans="1:2" x14ac:dyDescent="0.25">
      <c r="A2088" t="s">
        <v>2253</v>
      </c>
      <c r="B2088" s="24">
        <v>7</v>
      </c>
    </row>
    <row r="2089" spans="1:2" x14ac:dyDescent="0.25">
      <c r="A2089" t="s">
        <v>2254</v>
      </c>
      <c r="B2089" s="24">
        <v>7</v>
      </c>
    </row>
    <row r="2090" spans="1:2" x14ac:dyDescent="0.25">
      <c r="A2090" t="s">
        <v>2255</v>
      </c>
      <c r="B2090" s="24">
        <v>7</v>
      </c>
    </row>
    <row r="2091" spans="1:2" x14ac:dyDescent="0.25">
      <c r="A2091" s="23" t="s">
        <v>2256</v>
      </c>
      <c r="B2091" s="24">
        <v>7</v>
      </c>
    </row>
    <row r="2092" spans="1:2" x14ac:dyDescent="0.25">
      <c r="A2092" s="23" t="s">
        <v>2257</v>
      </c>
      <c r="B2092" s="24">
        <v>6</v>
      </c>
    </row>
    <row r="2093" spans="1:2" x14ac:dyDescent="0.25">
      <c r="A2093" s="23" t="s">
        <v>2258</v>
      </c>
      <c r="B2093" s="24">
        <v>6</v>
      </c>
    </row>
    <row r="2094" spans="1:2" x14ac:dyDescent="0.25">
      <c r="A2094" s="23" t="s">
        <v>2259</v>
      </c>
      <c r="B2094" s="24">
        <v>6</v>
      </c>
    </row>
    <row r="2095" spans="1:2" x14ac:dyDescent="0.25">
      <c r="A2095" s="23" t="s">
        <v>2260</v>
      </c>
      <c r="B2095" s="24">
        <v>6</v>
      </c>
    </row>
    <row r="2096" spans="1:2" x14ac:dyDescent="0.25">
      <c r="A2096" s="23" t="s">
        <v>2261</v>
      </c>
      <c r="B2096" s="24">
        <v>6</v>
      </c>
    </row>
    <row r="2097" spans="1:2" x14ac:dyDescent="0.25">
      <c r="A2097" s="23" t="s">
        <v>2262</v>
      </c>
      <c r="B2097" s="24">
        <v>6</v>
      </c>
    </row>
    <row r="2098" spans="1:2" x14ac:dyDescent="0.25">
      <c r="A2098" s="23" t="s">
        <v>2263</v>
      </c>
      <c r="B2098" s="24">
        <v>6</v>
      </c>
    </row>
    <row r="2099" spans="1:2" x14ac:dyDescent="0.25">
      <c r="A2099" s="23" t="s">
        <v>2264</v>
      </c>
      <c r="B2099" s="24">
        <v>6</v>
      </c>
    </row>
    <row r="2100" spans="1:2" x14ac:dyDescent="0.25">
      <c r="A2100" s="23" t="s">
        <v>2265</v>
      </c>
      <c r="B2100" s="24">
        <v>6</v>
      </c>
    </row>
    <row r="2101" spans="1:2" x14ac:dyDescent="0.25">
      <c r="A2101" s="23" t="s">
        <v>2266</v>
      </c>
      <c r="B2101" s="24">
        <v>6</v>
      </c>
    </row>
    <row r="2102" spans="1:2" x14ac:dyDescent="0.25">
      <c r="A2102" s="23" t="s">
        <v>2267</v>
      </c>
      <c r="B2102" s="24">
        <v>6</v>
      </c>
    </row>
    <row r="2103" spans="1:2" x14ac:dyDescent="0.25">
      <c r="A2103" s="23" t="s">
        <v>2268</v>
      </c>
      <c r="B2103" s="24">
        <v>6</v>
      </c>
    </row>
    <row r="2104" spans="1:2" x14ac:dyDescent="0.25">
      <c r="A2104" s="23" t="s">
        <v>2269</v>
      </c>
      <c r="B2104" s="24">
        <v>6</v>
      </c>
    </row>
    <row r="2105" spans="1:2" x14ac:dyDescent="0.25">
      <c r="A2105" s="23" t="s">
        <v>2270</v>
      </c>
      <c r="B2105" s="24">
        <v>6</v>
      </c>
    </row>
    <row r="2106" spans="1:2" x14ac:dyDescent="0.25">
      <c r="A2106" s="23" t="s">
        <v>2271</v>
      </c>
      <c r="B2106" s="24">
        <v>6</v>
      </c>
    </row>
    <row r="2107" spans="1:2" x14ac:dyDescent="0.25">
      <c r="A2107" s="23" t="s">
        <v>2272</v>
      </c>
      <c r="B2107" s="24">
        <v>6</v>
      </c>
    </row>
    <row r="2108" spans="1:2" x14ac:dyDescent="0.25">
      <c r="A2108" s="23" t="s">
        <v>2273</v>
      </c>
      <c r="B2108" s="24">
        <v>6</v>
      </c>
    </row>
    <row r="2109" spans="1:2" x14ac:dyDescent="0.25">
      <c r="A2109" s="23" t="s">
        <v>2274</v>
      </c>
      <c r="B2109" s="24">
        <v>6</v>
      </c>
    </row>
    <row r="2110" spans="1:2" x14ac:dyDescent="0.25">
      <c r="A2110" s="23" t="s">
        <v>2275</v>
      </c>
      <c r="B2110" s="24">
        <v>6</v>
      </c>
    </row>
    <row r="2111" spans="1:2" x14ac:dyDescent="0.25">
      <c r="A2111" s="23" t="s">
        <v>2276</v>
      </c>
      <c r="B2111" s="24">
        <v>6</v>
      </c>
    </row>
    <row r="2112" spans="1:2" x14ac:dyDescent="0.25">
      <c r="A2112" s="23" t="s">
        <v>2277</v>
      </c>
      <c r="B2112" s="24">
        <v>5</v>
      </c>
    </row>
    <row r="2113" spans="1:2" x14ac:dyDescent="0.25">
      <c r="A2113" s="23" t="s">
        <v>2278</v>
      </c>
      <c r="B2113" s="24">
        <v>5</v>
      </c>
    </row>
    <row r="2114" spans="1:2" x14ac:dyDescent="0.25">
      <c r="A2114" s="23" t="s">
        <v>2279</v>
      </c>
      <c r="B2114" s="24">
        <v>5</v>
      </c>
    </row>
    <row r="2115" spans="1:2" x14ac:dyDescent="0.25">
      <c r="A2115" s="23" t="s">
        <v>2280</v>
      </c>
      <c r="B2115" s="24">
        <v>5</v>
      </c>
    </row>
    <row r="2116" spans="1:2" x14ac:dyDescent="0.25">
      <c r="A2116" s="23" t="s">
        <v>2281</v>
      </c>
      <c r="B2116" s="24">
        <v>5</v>
      </c>
    </row>
    <row r="2117" spans="1:2" x14ac:dyDescent="0.25">
      <c r="A2117" s="23" t="s">
        <v>2282</v>
      </c>
      <c r="B2117" s="24">
        <v>5</v>
      </c>
    </row>
    <row r="2118" spans="1:2" x14ac:dyDescent="0.25">
      <c r="A2118" s="23" t="s">
        <v>2283</v>
      </c>
      <c r="B2118" s="24">
        <v>5</v>
      </c>
    </row>
    <row r="2119" spans="1:2" x14ac:dyDescent="0.25">
      <c r="A2119" s="23" t="s">
        <v>2284</v>
      </c>
      <c r="B2119" s="24">
        <v>5</v>
      </c>
    </row>
    <row r="2120" spans="1:2" x14ac:dyDescent="0.25">
      <c r="A2120" s="23" t="s">
        <v>2285</v>
      </c>
      <c r="B2120" s="24">
        <v>5</v>
      </c>
    </row>
    <row r="2121" spans="1:2" x14ac:dyDescent="0.25">
      <c r="A2121" s="23" t="s">
        <v>2286</v>
      </c>
      <c r="B2121" s="24">
        <v>5</v>
      </c>
    </row>
    <row r="2122" spans="1:2" x14ac:dyDescent="0.25">
      <c r="A2122" s="23" t="s">
        <v>2287</v>
      </c>
      <c r="B2122" s="24">
        <v>5</v>
      </c>
    </row>
    <row r="2123" spans="1:2" x14ac:dyDescent="0.25">
      <c r="A2123" s="23" t="s">
        <v>2288</v>
      </c>
      <c r="B2123" s="24">
        <v>5</v>
      </c>
    </row>
    <row r="2124" spans="1:2" x14ac:dyDescent="0.25">
      <c r="A2124" s="23" t="s">
        <v>2289</v>
      </c>
      <c r="B2124" s="24">
        <v>5</v>
      </c>
    </row>
    <row r="2125" spans="1:2" x14ac:dyDescent="0.25">
      <c r="A2125" s="23" t="s">
        <v>2290</v>
      </c>
      <c r="B2125" s="24">
        <v>5</v>
      </c>
    </row>
    <row r="2126" spans="1:2" x14ac:dyDescent="0.25">
      <c r="A2126" s="23" t="s">
        <v>2291</v>
      </c>
      <c r="B2126" s="24">
        <v>5</v>
      </c>
    </row>
    <row r="2127" spans="1:2" x14ac:dyDescent="0.25">
      <c r="A2127" s="23" t="s">
        <v>2292</v>
      </c>
      <c r="B2127" s="24">
        <v>5</v>
      </c>
    </row>
    <row r="2128" spans="1:2" x14ac:dyDescent="0.25">
      <c r="A2128" s="23" t="s">
        <v>2293</v>
      </c>
      <c r="B2128" s="24">
        <v>5</v>
      </c>
    </row>
    <row r="2129" spans="1:2" x14ac:dyDescent="0.25">
      <c r="A2129" s="23" t="s">
        <v>2294</v>
      </c>
      <c r="B2129" s="24">
        <v>5</v>
      </c>
    </row>
    <row r="2130" spans="1:2" x14ac:dyDescent="0.25">
      <c r="A2130" s="23" t="s">
        <v>2295</v>
      </c>
      <c r="B2130" s="24">
        <v>5</v>
      </c>
    </row>
    <row r="2131" spans="1:2" x14ac:dyDescent="0.25">
      <c r="A2131" s="23" t="s">
        <v>2296</v>
      </c>
      <c r="B2131" s="24">
        <v>5</v>
      </c>
    </row>
    <row r="2132" spans="1:2" x14ac:dyDescent="0.25">
      <c r="A2132" s="23" t="s">
        <v>2297</v>
      </c>
      <c r="B2132" s="24">
        <v>4</v>
      </c>
    </row>
    <row r="2133" spans="1:2" x14ac:dyDescent="0.25">
      <c r="A2133" s="23" t="s">
        <v>2298</v>
      </c>
      <c r="B2133" s="24">
        <v>4</v>
      </c>
    </row>
    <row r="2134" spans="1:2" x14ac:dyDescent="0.25">
      <c r="A2134" s="23" t="s">
        <v>2299</v>
      </c>
      <c r="B2134" s="24">
        <v>4</v>
      </c>
    </row>
    <row r="2135" spans="1:2" x14ac:dyDescent="0.25">
      <c r="A2135" s="23" t="s">
        <v>2300</v>
      </c>
      <c r="B2135" s="24">
        <v>4</v>
      </c>
    </row>
    <row r="2136" spans="1:2" x14ac:dyDescent="0.25">
      <c r="A2136" s="23" t="s">
        <v>2301</v>
      </c>
      <c r="B2136" s="24">
        <v>4</v>
      </c>
    </row>
    <row r="2137" spans="1:2" x14ac:dyDescent="0.25">
      <c r="A2137" s="23" t="s">
        <v>2302</v>
      </c>
      <c r="B2137" s="24">
        <v>4</v>
      </c>
    </row>
    <row r="2138" spans="1:2" x14ac:dyDescent="0.25">
      <c r="A2138" s="23" t="s">
        <v>2303</v>
      </c>
      <c r="B2138" s="24">
        <v>4</v>
      </c>
    </row>
    <row r="2139" spans="1:2" x14ac:dyDescent="0.25">
      <c r="A2139" s="23" t="s">
        <v>2304</v>
      </c>
      <c r="B2139" s="24">
        <v>4</v>
      </c>
    </row>
    <row r="2140" spans="1:2" x14ac:dyDescent="0.25">
      <c r="A2140" s="23" t="s">
        <v>2305</v>
      </c>
      <c r="B2140" s="24">
        <v>4</v>
      </c>
    </row>
    <row r="2141" spans="1:2" x14ac:dyDescent="0.25">
      <c r="A2141" s="23" t="s">
        <v>2306</v>
      </c>
      <c r="B2141" s="24">
        <v>4</v>
      </c>
    </row>
    <row r="2142" spans="1:2" x14ac:dyDescent="0.25">
      <c r="A2142" s="23" t="s">
        <v>2307</v>
      </c>
      <c r="B2142" s="24">
        <v>4</v>
      </c>
    </row>
    <row r="2143" spans="1:2" x14ac:dyDescent="0.25">
      <c r="A2143" s="23" t="s">
        <v>2308</v>
      </c>
      <c r="B2143" s="24">
        <v>4</v>
      </c>
    </row>
    <row r="2144" spans="1:2" x14ac:dyDescent="0.25">
      <c r="A2144" s="23" t="s">
        <v>2309</v>
      </c>
      <c r="B2144" s="24">
        <v>4</v>
      </c>
    </row>
    <row r="2145" spans="1:2" x14ac:dyDescent="0.25">
      <c r="A2145" s="23" t="s">
        <v>2310</v>
      </c>
      <c r="B2145" s="24">
        <v>4</v>
      </c>
    </row>
    <row r="2146" spans="1:2" x14ac:dyDescent="0.25">
      <c r="A2146" s="23" t="s">
        <v>2311</v>
      </c>
      <c r="B2146" s="24">
        <v>4</v>
      </c>
    </row>
    <row r="2147" spans="1:2" x14ac:dyDescent="0.25">
      <c r="A2147" s="23" t="s">
        <v>2312</v>
      </c>
      <c r="B2147" s="24">
        <v>4</v>
      </c>
    </row>
    <row r="2148" spans="1:2" x14ac:dyDescent="0.25">
      <c r="A2148" s="23" t="s">
        <v>2313</v>
      </c>
      <c r="B2148" s="24">
        <v>4</v>
      </c>
    </row>
    <row r="2149" spans="1:2" x14ac:dyDescent="0.25">
      <c r="A2149" s="23" t="s">
        <v>2314</v>
      </c>
      <c r="B2149" s="24">
        <v>4</v>
      </c>
    </row>
    <row r="2150" spans="1:2" x14ac:dyDescent="0.25">
      <c r="A2150" s="23" t="s">
        <v>2315</v>
      </c>
      <c r="B2150" s="24">
        <v>4</v>
      </c>
    </row>
    <row r="2151" spans="1:2" x14ac:dyDescent="0.25">
      <c r="A2151" s="23" t="s">
        <v>2316</v>
      </c>
      <c r="B2151" s="24">
        <v>4</v>
      </c>
    </row>
    <row r="2152" spans="1:2" x14ac:dyDescent="0.25">
      <c r="A2152" s="23" t="s">
        <v>2317</v>
      </c>
      <c r="B2152" s="24">
        <v>3</v>
      </c>
    </row>
    <row r="2153" spans="1:2" x14ac:dyDescent="0.25">
      <c r="A2153" s="23" t="s">
        <v>2318</v>
      </c>
      <c r="B2153" s="24">
        <v>3</v>
      </c>
    </row>
    <row r="2154" spans="1:2" x14ac:dyDescent="0.25">
      <c r="A2154" s="23" t="s">
        <v>2319</v>
      </c>
      <c r="B2154" s="24">
        <v>3</v>
      </c>
    </row>
    <row r="2155" spans="1:2" x14ac:dyDescent="0.25">
      <c r="A2155" s="23" t="s">
        <v>2320</v>
      </c>
      <c r="B2155" s="24">
        <v>3</v>
      </c>
    </row>
    <row r="2156" spans="1:2" x14ac:dyDescent="0.25">
      <c r="A2156" s="23" t="s">
        <v>2321</v>
      </c>
      <c r="B2156" s="24">
        <v>3</v>
      </c>
    </row>
    <row r="2157" spans="1:2" x14ac:dyDescent="0.25">
      <c r="A2157" s="23" t="s">
        <v>2322</v>
      </c>
      <c r="B2157" s="24">
        <v>3</v>
      </c>
    </row>
    <row r="2158" spans="1:2" x14ac:dyDescent="0.25">
      <c r="A2158" s="23" t="s">
        <v>2323</v>
      </c>
      <c r="B2158" s="24">
        <v>3</v>
      </c>
    </row>
    <row r="2159" spans="1:2" x14ac:dyDescent="0.25">
      <c r="A2159" s="23" t="s">
        <v>2324</v>
      </c>
      <c r="B2159" s="24">
        <v>3</v>
      </c>
    </row>
    <row r="2160" spans="1:2" x14ac:dyDescent="0.25">
      <c r="A2160" s="23" t="s">
        <v>2325</v>
      </c>
      <c r="B2160" s="24">
        <v>3</v>
      </c>
    </row>
    <row r="2161" spans="1:2" x14ac:dyDescent="0.25">
      <c r="A2161" s="23" t="s">
        <v>2326</v>
      </c>
      <c r="B2161" s="24">
        <v>3</v>
      </c>
    </row>
    <row r="2162" spans="1:2" x14ac:dyDescent="0.25">
      <c r="A2162" s="23" t="s">
        <v>2327</v>
      </c>
      <c r="B2162" s="24">
        <v>3</v>
      </c>
    </row>
    <row r="2163" spans="1:2" x14ac:dyDescent="0.25">
      <c r="A2163" s="23" t="s">
        <v>2328</v>
      </c>
      <c r="B2163" s="24">
        <v>3</v>
      </c>
    </row>
    <row r="2164" spans="1:2" x14ac:dyDescent="0.25">
      <c r="A2164" s="23" t="s">
        <v>2329</v>
      </c>
      <c r="B2164" s="24">
        <v>3</v>
      </c>
    </row>
    <row r="2165" spans="1:2" x14ac:dyDescent="0.25">
      <c r="A2165" s="23" t="s">
        <v>2330</v>
      </c>
      <c r="B2165" s="24">
        <v>3</v>
      </c>
    </row>
    <row r="2166" spans="1:2" x14ac:dyDescent="0.25">
      <c r="A2166" s="23" t="s">
        <v>2331</v>
      </c>
      <c r="B2166" s="24">
        <v>3</v>
      </c>
    </row>
    <row r="2167" spans="1:2" x14ac:dyDescent="0.25">
      <c r="A2167" s="23" t="s">
        <v>2332</v>
      </c>
      <c r="B2167" s="24">
        <v>3</v>
      </c>
    </row>
    <row r="2168" spans="1:2" x14ac:dyDescent="0.25">
      <c r="A2168" s="23" t="s">
        <v>2333</v>
      </c>
      <c r="B2168" s="24">
        <v>3</v>
      </c>
    </row>
    <row r="2169" spans="1:2" x14ac:dyDescent="0.25">
      <c r="A2169" s="23" t="s">
        <v>2334</v>
      </c>
      <c r="B2169" s="24">
        <v>3</v>
      </c>
    </row>
    <row r="2170" spans="1:2" x14ac:dyDescent="0.25">
      <c r="A2170" s="23" t="s">
        <v>2335</v>
      </c>
      <c r="B2170" s="24">
        <v>3</v>
      </c>
    </row>
    <row r="2171" spans="1:2" x14ac:dyDescent="0.25">
      <c r="A2171" s="23" t="s">
        <v>2336</v>
      </c>
      <c r="B2171" s="24">
        <v>3</v>
      </c>
    </row>
    <row r="2172" spans="1:2" x14ac:dyDescent="0.25">
      <c r="A2172" s="23" t="s">
        <v>2337</v>
      </c>
      <c r="B2172" s="24">
        <v>2</v>
      </c>
    </row>
    <row r="2173" spans="1:2" x14ac:dyDescent="0.25">
      <c r="A2173" s="23" t="s">
        <v>2338</v>
      </c>
      <c r="B2173" s="24">
        <v>2</v>
      </c>
    </row>
    <row r="2174" spans="1:2" x14ac:dyDescent="0.25">
      <c r="A2174" s="23" t="s">
        <v>2339</v>
      </c>
      <c r="B2174" s="24">
        <v>2</v>
      </c>
    </row>
    <row r="2175" spans="1:2" x14ac:dyDescent="0.25">
      <c r="A2175" s="23" t="s">
        <v>2340</v>
      </c>
      <c r="B2175" s="24">
        <v>2</v>
      </c>
    </row>
    <row r="2176" spans="1:2" x14ac:dyDescent="0.25">
      <c r="A2176" s="23" t="s">
        <v>2341</v>
      </c>
      <c r="B2176" s="24">
        <v>2</v>
      </c>
    </row>
    <row r="2177" spans="1:2" x14ac:dyDescent="0.25">
      <c r="A2177" s="23" t="s">
        <v>2342</v>
      </c>
      <c r="B2177" s="24">
        <v>2</v>
      </c>
    </row>
    <row r="2178" spans="1:2" x14ac:dyDescent="0.25">
      <c r="A2178" s="23" t="s">
        <v>2343</v>
      </c>
      <c r="B2178" s="24">
        <v>2</v>
      </c>
    </row>
    <row r="2179" spans="1:2" x14ac:dyDescent="0.25">
      <c r="A2179" s="23" t="s">
        <v>2344</v>
      </c>
      <c r="B2179" s="24">
        <v>2</v>
      </c>
    </row>
    <row r="2180" spans="1:2" x14ac:dyDescent="0.25">
      <c r="A2180" s="23" t="s">
        <v>2345</v>
      </c>
      <c r="B2180" s="24">
        <v>2</v>
      </c>
    </row>
    <row r="2181" spans="1:2" x14ac:dyDescent="0.25">
      <c r="A2181" s="23" t="s">
        <v>2346</v>
      </c>
      <c r="B2181" s="24">
        <v>2</v>
      </c>
    </row>
    <row r="2182" spans="1:2" x14ac:dyDescent="0.25">
      <c r="A2182" s="23" t="s">
        <v>2347</v>
      </c>
      <c r="B2182" s="24">
        <v>2</v>
      </c>
    </row>
    <row r="2183" spans="1:2" x14ac:dyDescent="0.25">
      <c r="A2183" s="23" t="s">
        <v>2348</v>
      </c>
      <c r="B2183" s="24">
        <v>2</v>
      </c>
    </row>
    <row r="2184" spans="1:2" x14ac:dyDescent="0.25">
      <c r="A2184" s="23" t="s">
        <v>2349</v>
      </c>
      <c r="B2184" s="24">
        <v>2</v>
      </c>
    </row>
    <row r="2185" spans="1:2" x14ac:dyDescent="0.25">
      <c r="A2185" s="23" t="s">
        <v>2350</v>
      </c>
      <c r="B2185" s="24">
        <v>2</v>
      </c>
    </row>
    <row r="2186" spans="1:2" x14ac:dyDescent="0.25">
      <c r="A2186" s="23" t="s">
        <v>2351</v>
      </c>
      <c r="B2186" s="24">
        <v>2</v>
      </c>
    </row>
    <row r="2187" spans="1:2" x14ac:dyDescent="0.25">
      <c r="A2187" s="23" t="s">
        <v>2352</v>
      </c>
      <c r="B2187" s="24">
        <v>2</v>
      </c>
    </row>
    <row r="2188" spans="1:2" x14ac:dyDescent="0.25">
      <c r="A2188" s="23" t="s">
        <v>2353</v>
      </c>
      <c r="B2188" s="24">
        <v>2</v>
      </c>
    </row>
    <row r="2189" spans="1:2" x14ac:dyDescent="0.25">
      <c r="A2189" s="23" t="s">
        <v>2354</v>
      </c>
      <c r="B2189" s="24">
        <v>2</v>
      </c>
    </row>
    <row r="2190" spans="1:2" x14ac:dyDescent="0.25">
      <c r="A2190" s="23" t="s">
        <v>2355</v>
      </c>
      <c r="B2190" s="24">
        <v>2</v>
      </c>
    </row>
    <row r="2191" spans="1:2" x14ac:dyDescent="0.25">
      <c r="A2191" s="23" t="s">
        <v>2356</v>
      </c>
      <c r="B2191" s="24">
        <v>2</v>
      </c>
    </row>
    <row r="2192" spans="1:2" x14ac:dyDescent="0.25">
      <c r="A2192" s="23" t="s">
        <v>2357</v>
      </c>
      <c r="B2192" s="24">
        <v>1</v>
      </c>
    </row>
    <row r="2193" spans="1:2" x14ac:dyDescent="0.25">
      <c r="A2193" s="23" t="s">
        <v>2358</v>
      </c>
      <c r="B2193" s="24">
        <v>1</v>
      </c>
    </row>
    <row r="2194" spans="1:2" x14ac:dyDescent="0.25">
      <c r="A2194" s="23" t="s">
        <v>2359</v>
      </c>
      <c r="B2194" s="24">
        <v>1</v>
      </c>
    </row>
    <row r="2195" spans="1:2" x14ac:dyDescent="0.25">
      <c r="A2195" s="23" t="s">
        <v>2360</v>
      </c>
      <c r="B2195" s="24">
        <v>1</v>
      </c>
    </row>
    <row r="2196" spans="1:2" x14ac:dyDescent="0.25">
      <c r="A2196" s="23" t="s">
        <v>2361</v>
      </c>
      <c r="B2196" s="24">
        <v>1</v>
      </c>
    </row>
    <row r="2197" spans="1:2" x14ac:dyDescent="0.25">
      <c r="A2197" s="23" t="s">
        <v>2362</v>
      </c>
      <c r="B2197" s="24">
        <v>1</v>
      </c>
    </row>
    <row r="2198" spans="1:2" x14ac:dyDescent="0.25">
      <c r="A2198" s="23" t="s">
        <v>2363</v>
      </c>
      <c r="B2198" s="24">
        <v>1</v>
      </c>
    </row>
    <row r="2199" spans="1:2" x14ac:dyDescent="0.25">
      <c r="A2199" s="23" t="s">
        <v>2364</v>
      </c>
      <c r="B2199" s="24">
        <v>1</v>
      </c>
    </row>
    <row r="2200" spans="1:2" x14ac:dyDescent="0.25">
      <c r="A2200" s="23" t="s">
        <v>2365</v>
      </c>
      <c r="B2200" s="24">
        <v>1</v>
      </c>
    </row>
    <row r="2201" spans="1:2" x14ac:dyDescent="0.25">
      <c r="A2201" s="23" t="s">
        <v>2366</v>
      </c>
      <c r="B2201" s="24">
        <v>1</v>
      </c>
    </row>
    <row r="2202" spans="1:2" x14ac:dyDescent="0.25">
      <c r="A2202" s="23" t="s">
        <v>2367</v>
      </c>
      <c r="B2202" s="24">
        <v>1</v>
      </c>
    </row>
    <row r="2203" spans="1:2" x14ac:dyDescent="0.25">
      <c r="A2203" s="23" t="s">
        <v>2368</v>
      </c>
      <c r="B2203" s="24">
        <v>1</v>
      </c>
    </row>
    <row r="2204" spans="1:2" x14ac:dyDescent="0.25">
      <c r="A2204" s="23" t="s">
        <v>2369</v>
      </c>
      <c r="B2204" s="24">
        <v>1</v>
      </c>
    </row>
    <row r="2205" spans="1:2" x14ac:dyDescent="0.25">
      <c r="A2205" s="23" t="s">
        <v>2370</v>
      </c>
      <c r="B2205" s="24">
        <v>1</v>
      </c>
    </row>
    <row r="2206" spans="1:2" x14ac:dyDescent="0.25">
      <c r="A2206" s="23" t="s">
        <v>2371</v>
      </c>
      <c r="B2206" s="24">
        <v>1</v>
      </c>
    </row>
    <row r="2207" spans="1:2" x14ac:dyDescent="0.25">
      <c r="A2207" s="23" t="s">
        <v>2372</v>
      </c>
      <c r="B2207" s="24">
        <v>1</v>
      </c>
    </row>
    <row r="2208" spans="1:2" x14ac:dyDescent="0.25">
      <c r="A2208" s="23" t="s">
        <v>2373</v>
      </c>
      <c r="B2208" s="24">
        <v>1</v>
      </c>
    </row>
    <row r="2209" spans="1:2" x14ac:dyDescent="0.25">
      <c r="A2209" s="23" t="s">
        <v>2374</v>
      </c>
      <c r="B2209" s="24">
        <v>1</v>
      </c>
    </row>
    <row r="2210" spans="1:2" x14ac:dyDescent="0.25">
      <c r="A2210" s="23" t="s">
        <v>2375</v>
      </c>
      <c r="B2210" s="24">
        <v>1</v>
      </c>
    </row>
    <row r="2211" spans="1:2" x14ac:dyDescent="0.25">
      <c r="A2211" s="23" t="s">
        <v>2376</v>
      </c>
      <c r="B2211" s="24">
        <v>1</v>
      </c>
    </row>
    <row r="2212" spans="1:2" x14ac:dyDescent="0.25">
      <c r="A2212" s="23" t="s">
        <v>2377</v>
      </c>
      <c r="B2212" s="24">
        <v>1</v>
      </c>
    </row>
    <row r="2213" spans="1:2" x14ac:dyDescent="0.25">
      <c r="A2213" s="23" t="s">
        <v>2378</v>
      </c>
      <c r="B2213" s="24">
        <v>1</v>
      </c>
    </row>
    <row r="2214" spans="1:2" x14ac:dyDescent="0.25">
      <c r="A2214" s="23" t="s">
        <v>2379</v>
      </c>
      <c r="B2214" s="24">
        <v>1</v>
      </c>
    </row>
    <row r="2215" spans="1:2" x14ac:dyDescent="0.25">
      <c r="A2215" s="23" t="s">
        <v>2380</v>
      </c>
      <c r="B2215" s="24">
        <v>1</v>
      </c>
    </row>
    <row r="2216" spans="1:2" x14ac:dyDescent="0.25">
      <c r="A2216" s="23" t="s">
        <v>2381</v>
      </c>
      <c r="B2216" s="24">
        <v>1</v>
      </c>
    </row>
    <row r="2217" spans="1:2" x14ac:dyDescent="0.25">
      <c r="A2217" s="23" t="s">
        <v>2382</v>
      </c>
      <c r="B2217" s="24">
        <v>1</v>
      </c>
    </row>
    <row r="2218" spans="1:2" x14ac:dyDescent="0.25">
      <c r="A2218" s="23" t="s">
        <v>2383</v>
      </c>
      <c r="B2218" s="24">
        <v>1</v>
      </c>
    </row>
    <row r="2219" spans="1:2" x14ac:dyDescent="0.25">
      <c r="A2219" s="23" t="s">
        <v>2384</v>
      </c>
      <c r="B2219" s="24">
        <v>1</v>
      </c>
    </row>
    <row r="2220" spans="1:2" x14ac:dyDescent="0.25">
      <c r="A2220" s="23" t="s">
        <v>2385</v>
      </c>
      <c r="B2220" s="24">
        <v>1</v>
      </c>
    </row>
    <row r="2221" spans="1:2" x14ac:dyDescent="0.25">
      <c r="A2221" s="23" t="s">
        <v>2386</v>
      </c>
      <c r="B2221" s="24">
        <v>1</v>
      </c>
    </row>
    <row r="2222" spans="1:2" x14ac:dyDescent="0.25">
      <c r="A2222" s="23" t="s">
        <v>2387</v>
      </c>
      <c r="B2222" s="24">
        <v>1</v>
      </c>
    </row>
    <row r="2223" spans="1:2" x14ac:dyDescent="0.25">
      <c r="A2223" s="23" t="s">
        <v>2388</v>
      </c>
      <c r="B2223" s="24">
        <v>1</v>
      </c>
    </row>
    <row r="2224" spans="1:2" x14ac:dyDescent="0.25">
      <c r="A2224" s="23" t="s">
        <v>2389</v>
      </c>
      <c r="B2224" s="24">
        <v>1</v>
      </c>
    </row>
    <row r="2225" spans="1:2" x14ac:dyDescent="0.25">
      <c r="A2225" s="23" t="s">
        <v>2390</v>
      </c>
      <c r="B2225" s="24">
        <v>1</v>
      </c>
    </row>
    <row r="2226" spans="1:2" x14ac:dyDescent="0.25">
      <c r="A2226" s="23" t="s">
        <v>2391</v>
      </c>
      <c r="B2226" s="24">
        <v>1</v>
      </c>
    </row>
    <row r="2227" spans="1:2" x14ac:dyDescent="0.25">
      <c r="A2227" s="23" t="s">
        <v>2392</v>
      </c>
      <c r="B2227" s="24">
        <v>1</v>
      </c>
    </row>
    <row r="2228" spans="1:2" x14ac:dyDescent="0.25">
      <c r="A2228" s="23" t="s">
        <v>2393</v>
      </c>
      <c r="B2228" s="24">
        <v>1</v>
      </c>
    </row>
    <row r="2229" spans="1:2" x14ac:dyDescent="0.25">
      <c r="A2229" s="23" t="s">
        <v>2394</v>
      </c>
      <c r="B2229" s="24">
        <v>1</v>
      </c>
    </row>
    <row r="2230" spans="1:2" x14ac:dyDescent="0.25">
      <c r="A2230" s="23" t="s">
        <v>2395</v>
      </c>
      <c r="B2230" s="24">
        <v>1</v>
      </c>
    </row>
    <row r="2231" spans="1:2" x14ac:dyDescent="0.25">
      <c r="A2231" s="23" t="s">
        <v>2396</v>
      </c>
      <c r="B2231" s="24">
        <v>1</v>
      </c>
    </row>
    <row r="2232" spans="1:2" x14ac:dyDescent="0.25">
      <c r="A2232" s="23" t="s">
        <v>2397</v>
      </c>
      <c r="B2232" s="24">
        <v>1</v>
      </c>
    </row>
    <row r="2233" spans="1:2" x14ac:dyDescent="0.25">
      <c r="A2233" s="23" t="s">
        <v>2398</v>
      </c>
      <c r="B2233" s="24">
        <v>1</v>
      </c>
    </row>
    <row r="2234" spans="1:2" x14ac:dyDescent="0.25">
      <c r="A2234" s="23" t="s">
        <v>2399</v>
      </c>
      <c r="B2234" s="24">
        <v>1</v>
      </c>
    </row>
    <row r="2235" spans="1:2" x14ac:dyDescent="0.25">
      <c r="A2235" s="23" t="s">
        <v>2400</v>
      </c>
      <c r="B2235" s="24">
        <v>1</v>
      </c>
    </row>
    <row r="2236" spans="1:2" x14ac:dyDescent="0.25">
      <c r="A2236" s="23" t="s">
        <v>2401</v>
      </c>
      <c r="B2236" s="24">
        <v>1</v>
      </c>
    </row>
    <row r="2237" spans="1:2" x14ac:dyDescent="0.25">
      <c r="A2237" s="23" t="s">
        <v>2402</v>
      </c>
      <c r="B2237" s="24">
        <v>1</v>
      </c>
    </row>
    <row r="2238" spans="1:2" x14ac:dyDescent="0.25">
      <c r="A2238" s="23" t="s">
        <v>2403</v>
      </c>
      <c r="B2238" s="24">
        <v>1</v>
      </c>
    </row>
    <row r="2239" spans="1:2" x14ac:dyDescent="0.25">
      <c r="A2239" s="23" t="s">
        <v>2404</v>
      </c>
      <c r="B2239" s="24">
        <v>1</v>
      </c>
    </row>
    <row r="2240" spans="1:2" x14ac:dyDescent="0.25">
      <c r="A2240" s="23" t="s">
        <v>2405</v>
      </c>
      <c r="B2240" s="24">
        <v>1</v>
      </c>
    </row>
    <row r="2241" spans="1:2" x14ac:dyDescent="0.25">
      <c r="A2241" s="23" t="s">
        <v>2406</v>
      </c>
      <c r="B2241" s="24">
        <v>1</v>
      </c>
    </row>
    <row r="2242" spans="1:2" x14ac:dyDescent="0.25">
      <c r="A2242" s="23" t="s">
        <v>2407</v>
      </c>
      <c r="B2242" s="24">
        <v>1</v>
      </c>
    </row>
    <row r="2243" spans="1:2" x14ac:dyDescent="0.25">
      <c r="A2243" s="23" t="s">
        <v>2408</v>
      </c>
      <c r="B2243" s="24">
        <v>1</v>
      </c>
    </row>
    <row r="2244" spans="1:2" x14ac:dyDescent="0.25">
      <c r="A2244" s="23" t="s">
        <v>2409</v>
      </c>
      <c r="B2244" s="24">
        <v>1</v>
      </c>
    </row>
    <row r="2245" spans="1:2" x14ac:dyDescent="0.25">
      <c r="A2245" s="23" t="s">
        <v>2410</v>
      </c>
      <c r="B2245" s="24">
        <v>1</v>
      </c>
    </row>
    <row r="2246" spans="1:2" x14ac:dyDescent="0.25">
      <c r="A2246" s="23" t="s">
        <v>2411</v>
      </c>
      <c r="B2246" s="24">
        <v>1</v>
      </c>
    </row>
    <row r="2247" spans="1:2" x14ac:dyDescent="0.25">
      <c r="A2247" s="23" t="s">
        <v>2412</v>
      </c>
      <c r="B2247" s="24">
        <v>1</v>
      </c>
    </row>
    <row r="2248" spans="1:2" x14ac:dyDescent="0.25">
      <c r="A2248" s="23" t="s">
        <v>2413</v>
      </c>
      <c r="B2248" s="24">
        <v>1</v>
      </c>
    </row>
    <row r="2249" spans="1:2" x14ac:dyDescent="0.25">
      <c r="A2249" s="23" t="s">
        <v>2414</v>
      </c>
      <c r="B2249" s="24">
        <v>1</v>
      </c>
    </row>
    <row r="2250" spans="1:2" x14ac:dyDescent="0.25">
      <c r="A2250" s="23" t="s">
        <v>2415</v>
      </c>
      <c r="B2250" s="24">
        <v>1</v>
      </c>
    </row>
    <row r="2251" spans="1:2" x14ac:dyDescent="0.25">
      <c r="A2251" s="23" t="s">
        <v>2416</v>
      </c>
      <c r="B2251" s="24">
        <v>1</v>
      </c>
    </row>
    <row r="2252" spans="1:2" x14ac:dyDescent="0.25">
      <c r="A2252" s="23" t="s">
        <v>2417</v>
      </c>
      <c r="B2252" s="24">
        <v>1</v>
      </c>
    </row>
    <row r="2253" spans="1:2" x14ac:dyDescent="0.25">
      <c r="A2253" s="23" t="s">
        <v>2418</v>
      </c>
      <c r="B2253" s="24">
        <v>1</v>
      </c>
    </row>
    <row r="2254" spans="1:2" x14ac:dyDescent="0.25">
      <c r="A2254" s="23" t="s">
        <v>2419</v>
      </c>
      <c r="B2254" s="24">
        <v>1</v>
      </c>
    </row>
    <row r="2255" spans="1:2" x14ac:dyDescent="0.25">
      <c r="A2255" s="23" t="s">
        <v>2420</v>
      </c>
      <c r="B2255" s="24">
        <v>1</v>
      </c>
    </row>
    <row r="2256" spans="1:2" x14ac:dyDescent="0.25">
      <c r="A2256" s="23" t="s">
        <v>2421</v>
      </c>
      <c r="B2256" s="24">
        <v>1</v>
      </c>
    </row>
    <row r="2257" spans="1:2" x14ac:dyDescent="0.25">
      <c r="A2257" s="23" t="s">
        <v>2422</v>
      </c>
      <c r="B2257" s="24">
        <v>1</v>
      </c>
    </row>
    <row r="2258" spans="1:2" x14ac:dyDescent="0.25">
      <c r="A2258" s="23" t="s">
        <v>2423</v>
      </c>
      <c r="B2258" s="24">
        <v>1</v>
      </c>
    </row>
    <row r="2259" spans="1:2" x14ac:dyDescent="0.25">
      <c r="A2259" s="23" t="s">
        <v>2424</v>
      </c>
      <c r="B2259" s="24">
        <v>1</v>
      </c>
    </row>
    <row r="2260" spans="1:2" x14ac:dyDescent="0.25">
      <c r="A2260" s="23" t="s">
        <v>2425</v>
      </c>
      <c r="B2260" s="24">
        <v>1</v>
      </c>
    </row>
    <row r="2261" spans="1:2" x14ac:dyDescent="0.25">
      <c r="A2261" s="23" t="s">
        <v>2426</v>
      </c>
      <c r="B2261" s="24">
        <v>1</v>
      </c>
    </row>
    <row r="2262" spans="1:2" x14ac:dyDescent="0.25">
      <c r="A2262" s="23" t="s">
        <v>2427</v>
      </c>
      <c r="B2262" s="24">
        <v>1</v>
      </c>
    </row>
    <row r="2263" spans="1:2" x14ac:dyDescent="0.25">
      <c r="A2263" s="23" t="s">
        <v>2428</v>
      </c>
      <c r="B2263" s="24">
        <v>1</v>
      </c>
    </row>
    <row r="2264" spans="1:2" x14ac:dyDescent="0.25">
      <c r="A2264" s="23" t="s">
        <v>2429</v>
      </c>
      <c r="B2264" s="24">
        <v>1</v>
      </c>
    </row>
    <row r="2265" spans="1:2" x14ac:dyDescent="0.25">
      <c r="A2265" s="23" t="s">
        <v>2430</v>
      </c>
      <c r="B2265" s="24">
        <v>1</v>
      </c>
    </row>
    <row r="2266" spans="1:2" x14ac:dyDescent="0.25">
      <c r="A2266" s="23" t="s">
        <v>2431</v>
      </c>
      <c r="B2266" s="24">
        <v>1</v>
      </c>
    </row>
    <row r="2267" spans="1:2" x14ac:dyDescent="0.25">
      <c r="A2267" s="23" t="s">
        <v>2432</v>
      </c>
      <c r="B2267" s="24">
        <v>1</v>
      </c>
    </row>
    <row r="2268" spans="1:2" x14ac:dyDescent="0.25">
      <c r="A2268" s="23" t="s">
        <v>2433</v>
      </c>
      <c r="B2268" s="24">
        <v>1</v>
      </c>
    </row>
    <row r="2269" spans="1:2" x14ac:dyDescent="0.25">
      <c r="A2269" s="23" t="s">
        <v>2434</v>
      </c>
      <c r="B2269" s="24">
        <v>1</v>
      </c>
    </row>
    <row r="2270" spans="1:2" x14ac:dyDescent="0.25">
      <c r="A2270" s="23" t="s">
        <v>2435</v>
      </c>
      <c r="B2270" s="24">
        <v>1</v>
      </c>
    </row>
    <row r="2271" spans="1:2" x14ac:dyDescent="0.25">
      <c r="A2271" s="23" t="s">
        <v>2436</v>
      </c>
      <c r="B2271" s="24">
        <v>1</v>
      </c>
    </row>
    <row r="2272" spans="1:2" x14ac:dyDescent="0.25">
      <c r="A2272" s="23" t="s">
        <v>2437</v>
      </c>
      <c r="B2272" s="24">
        <v>1</v>
      </c>
    </row>
    <row r="2273" spans="1:2" x14ac:dyDescent="0.25">
      <c r="A2273" s="23" t="s">
        <v>2438</v>
      </c>
      <c r="B2273" s="24">
        <v>1</v>
      </c>
    </row>
    <row r="2274" spans="1:2" x14ac:dyDescent="0.25">
      <c r="A2274" s="23" t="s">
        <v>2439</v>
      </c>
      <c r="B2274" s="24">
        <v>1</v>
      </c>
    </row>
    <row r="2275" spans="1:2" x14ac:dyDescent="0.25">
      <c r="A2275" s="23" t="s">
        <v>2440</v>
      </c>
      <c r="B2275" s="24">
        <v>1</v>
      </c>
    </row>
    <row r="2276" spans="1:2" x14ac:dyDescent="0.25">
      <c r="A2276" s="23" t="s">
        <v>2441</v>
      </c>
      <c r="B2276" s="24">
        <v>1</v>
      </c>
    </row>
    <row r="2277" spans="1:2" x14ac:dyDescent="0.25">
      <c r="A2277" s="23" t="s">
        <v>2442</v>
      </c>
      <c r="B2277" s="24">
        <v>1</v>
      </c>
    </row>
    <row r="2278" spans="1:2" x14ac:dyDescent="0.25">
      <c r="A2278" s="23" t="s">
        <v>2443</v>
      </c>
      <c r="B2278" s="24">
        <v>1</v>
      </c>
    </row>
    <row r="2279" spans="1:2" x14ac:dyDescent="0.25">
      <c r="A2279" s="23" t="s">
        <v>2444</v>
      </c>
      <c r="B2279" s="24">
        <v>1</v>
      </c>
    </row>
    <row r="2280" spans="1:2" x14ac:dyDescent="0.25">
      <c r="A2280" s="23" t="s">
        <v>2445</v>
      </c>
      <c r="B2280" s="24">
        <v>1</v>
      </c>
    </row>
    <row r="2281" spans="1:2" x14ac:dyDescent="0.25">
      <c r="A2281" s="23" t="s">
        <v>2446</v>
      </c>
      <c r="B2281" s="24">
        <v>1</v>
      </c>
    </row>
    <row r="2282" spans="1:2" x14ac:dyDescent="0.25">
      <c r="A2282" s="23" t="s">
        <v>2447</v>
      </c>
      <c r="B2282" s="24">
        <v>1</v>
      </c>
    </row>
    <row r="2283" spans="1:2" x14ac:dyDescent="0.25">
      <c r="A2283" s="23" t="s">
        <v>2448</v>
      </c>
      <c r="B2283" s="24">
        <v>1</v>
      </c>
    </row>
    <row r="2284" spans="1:2" x14ac:dyDescent="0.25">
      <c r="A2284" s="23" t="s">
        <v>2449</v>
      </c>
      <c r="B2284" s="24">
        <v>1</v>
      </c>
    </row>
    <row r="2285" spans="1:2" x14ac:dyDescent="0.25">
      <c r="A2285" s="23" t="s">
        <v>2450</v>
      </c>
      <c r="B2285" s="24">
        <v>1</v>
      </c>
    </row>
    <row r="2286" spans="1:2" x14ac:dyDescent="0.25">
      <c r="A2286" s="23" t="s">
        <v>2451</v>
      </c>
      <c r="B2286" s="24">
        <v>1</v>
      </c>
    </row>
    <row r="2287" spans="1:2" x14ac:dyDescent="0.25">
      <c r="A2287" s="23" t="s">
        <v>2452</v>
      </c>
      <c r="B2287" s="24">
        <v>1</v>
      </c>
    </row>
    <row r="2288" spans="1:2" x14ac:dyDescent="0.25">
      <c r="A2288" s="23" t="s">
        <v>2453</v>
      </c>
      <c r="B2288" s="24">
        <v>1</v>
      </c>
    </row>
    <row r="2289" spans="1:2" x14ac:dyDescent="0.25">
      <c r="A2289" s="23" t="s">
        <v>2454</v>
      </c>
      <c r="B2289" s="24">
        <v>1</v>
      </c>
    </row>
    <row r="2290" spans="1:2" x14ac:dyDescent="0.25">
      <c r="A2290" s="23" t="s">
        <v>2455</v>
      </c>
      <c r="B2290" s="24">
        <v>1</v>
      </c>
    </row>
    <row r="2291" spans="1:2" x14ac:dyDescent="0.25">
      <c r="A2291" s="23" t="s">
        <v>2456</v>
      </c>
      <c r="B2291" s="24">
        <v>1</v>
      </c>
    </row>
    <row r="2292" spans="1:2" x14ac:dyDescent="0.25">
      <c r="A2292" t="s">
        <v>2457</v>
      </c>
      <c r="B2292" s="23">
        <v>70</v>
      </c>
    </row>
    <row r="2293" spans="1:2" x14ac:dyDescent="0.25">
      <c r="A2293" t="s">
        <v>2458</v>
      </c>
      <c r="B2293" s="23">
        <v>70</v>
      </c>
    </row>
    <row r="2294" spans="1:2" x14ac:dyDescent="0.25">
      <c r="A2294" t="s">
        <v>2459</v>
      </c>
      <c r="B2294" s="23">
        <v>70</v>
      </c>
    </row>
    <row r="2295" spans="1:2" x14ac:dyDescent="0.25">
      <c r="A2295" t="s">
        <v>2460</v>
      </c>
      <c r="B2295" s="23">
        <v>70</v>
      </c>
    </row>
    <row r="2296" spans="1:2" x14ac:dyDescent="0.25">
      <c r="A2296" t="s">
        <v>2461</v>
      </c>
      <c r="B2296" s="23">
        <v>70</v>
      </c>
    </row>
    <row r="2297" spans="1:2" x14ac:dyDescent="0.25">
      <c r="A2297" t="s">
        <v>2462</v>
      </c>
      <c r="B2297" s="23">
        <v>70</v>
      </c>
    </row>
    <row r="2298" spans="1:2" x14ac:dyDescent="0.25">
      <c r="A2298" t="s">
        <v>2463</v>
      </c>
      <c r="B2298" s="23">
        <v>70</v>
      </c>
    </row>
    <row r="2299" spans="1:2" x14ac:dyDescent="0.25">
      <c r="A2299" t="s">
        <v>2464</v>
      </c>
      <c r="B2299" s="23">
        <v>70</v>
      </c>
    </row>
    <row r="2300" spans="1:2" x14ac:dyDescent="0.25">
      <c r="A2300" t="s">
        <v>2465</v>
      </c>
      <c r="B2300" s="23">
        <v>70</v>
      </c>
    </row>
    <row r="2301" spans="1:2" x14ac:dyDescent="0.25">
      <c r="A2301" t="s">
        <v>2466</v>
      </c>
      <c r="B2301" s="23">
        <v>70</v>
      </c>
    </row>
    <row r="2302" spans="1:2" x14ac:dyDescent="0.25">
      <c r="A2302" t="s">
        <v>2467</v>
      </c>
      <c r="B2302" s="23">
        <v>70</v>
      </c>
    </row>
    <row r="2303" spans="1:2" x14ac:dyDescent="0.25">
      <c r="A2303" t="s">
        <v>2468</v>
      </c>
      <c r="B2303" s="23">
        <v>70</v>
      </c>
    </row>
    <row r="2304" spans="1:2" x14ac:dyDescent="0.25">
      <c r="A2304" t="s">
        <v>2469</v>
      </c>
      <c r="B2304" s="23">
        <v>70</v>
      </c>
    </row>
    <row r="2305" spans="1:2" x14ac:dyDescent="0.25">
      <c r="A2305" t="s">
        <v>2470</v>
      </c>
      <c r="B2305" s="23">
        <v>70</v>
      </c>
    </row>
    <row r="2306" spans="1:2" x14ac:dyDescent="0.25">
      <c r="A2306" t="s">
        <v>2471</v>
      </c>
      <c r="B2306" s="23">
        <v>69</v>
      </c>
    </row>
    <row r="2307" spans="1:2" x14ac:dyDescent="0.25">
      <c r="A2307" t="s">
        <v>2472</v>
      </c>
      <c r="B2307" s="23">
        <v>69</v>
      </c>
    </row>
    <row r="2308" spans="1:2" x14ac:dyDescent="0.25">
      <c r="A2308" t="s">
        <v>2473</v>
      </c>
      <c r="B2308" s="23">
        <v>68</v>
      </c>
    </row>
    <row r="2309" spans="1:2" x14ac:dyDescent="0.25">
      <c r="A2309" t="s">
        <v>2474</v>
      </c>
      <c r="B2309" s="23">
        <v>68</v>
      </c>
    </row>
    <row r="2310" spans="1:2" x14ac:dyDescent="0.25">
      <c r="A2310" t="s">
        <v>2475</v>
      </c>
      <c r="B2310" s="23">
        <v>67</v>
      </c>
    </row>
    <row r="2311" spans="1:2" x14ac:dyDescent="0.25">
      <c r="A2311" t="s">
        <v>2476</v>
      </c>
      <c r="B2311" s="23">
        <v>67</v>
      </c>
    </row>
    <row r="2312" spans="1:2" x14ac:dyDescent="0.25">
      <c r="A2312" t="s">
        <v>2477</v>
      </c>
      <c r="B2312" s="23">
        <v>66</v>
      </c>
    </row>
    <row r="2313" spans="1:2" x14ac:dyDescent="0.25">
      <c r="A2313" t="s">
        <v>2478</v>
      </c>
      <c r="B2313" s="23">
        <v>66</v>
      </c>
    </row>
    <row r="2314" spans="1:2" x14ac:dyDescent="0.25">
      <c r="A2314" t="s">
        <v>2479</v>
      </c>
      <c r="B2314" s="23">
        <v>65</v>
      </c>
    </row>
    <row r="2315" spans="1:2" x14ac:dyDescent="0.25">
      <c r="A2315" t="s">
        <v>2480</v>
      </c>
      <c r="B2315" s="23">
        <v>65</v>
      </c>
    </row>
    <row r="2316" spans="1:2" x14ac:dyDescent="0.25">
      <c r="A2316" t="s">
        <v>2481</v>
      </c>
      <c r="B2316" s="23">
        <v>64</v>
      </c>
    </row>
    <row r="2317" spans="1:2" x14ac:dyDescent="0.25">
      <c r="A2317" t="s">
        <v>2482</v>
      </c>
      <c r="B2317" s="23">
        <v>64</v>
      </c>
    </row>
    <row r="2318" spans="1:2" x14ac:dyDescent="0.25">
      <c r="A2318" t="s">
        <v>2483</v>
      </c>
      <c r="B2318" s="23">
        <v>63</v>
      </c>
    </row>
    <row r="2319" spans="1:2" x14ac:dyDescent="0.25">
      <c r="A2319" t="s">
        <v>2484</v>
      </c>
      <c r="B2319" s="23">
        <v>63</v>
      </c>
    </row>
    <row r="2320" spans="1:2" x14ac:dyDescent="0.25">
      <c r="A2320" t="s">
        <v>2485</v>
      </c>
      <c r="B2320" s="23">
        <v>62</v>
      </c>
    </row>
    <row r="2321" spans="1:2" x14ac:dyDescent="0.25">
      <c r="A2321" t="s">
        <v>2486</v>
      </c>
      <c r="B2321" s="23">
        <v>62</v>
      </c>
    </row>
    <row r="2322" spans="1:2" x14ac:dyDescent="0.25">
      <c r="A2322" t="s">
        <v>2487</v>
      </c>
      <c r="B2322" s="23">
        <v>61</v>
      </c>
    </row>
    <row r="2323" spans="1:2" x14ac:dyDescent="0.25">
      <c r="A2323" t="s">
        <v>2488</v>
      </c>
      <c r="B2323" s="23">
        <v>61</v>
      </c>
    </row>
    <row r="2324" spans="1:2" x14ac:dyDescent="0.25">
      <c r="A2324" t="s">
        <v>2489</v>
      </c>
      <c r="B2324" s="23">
        <v>60</v>
      </c>
    </row>
    <row r="2325" spans="1:2" x14ac:dyDescent="0.25">
      <c r="A2325" t="s">
        <v>2490</v>
      </c>
      <c r="B2325" s="23">
        <v>60</v>
      </c>
    </row>
    <row r="2326" spans="1:2" x14ac:dyDescent="0.25">
      <c r="A2326" t="s">
        <v>2491</v>
      </c>
      <c r="B2326" s="23">
        <v>59</v>
      </c>
    </row>
    <row r="2327" spans="1:2" x14ac:dyDescent="0.25">
      <c r="A2327" t="s">
        <v>2492</v>
      </c>
      <c r="B2327" s="23">
        <v>59</v>
      </c>
    </row>
    <row r="2328" spans="1:2" x14ac:dyDescent="0.25">
      <c r="A2328" t="s">
        <v>2493</v>
      </c>
      <c r="B2328" s="23">
        <v>58</v>
      </c>
    </row>
    <row r="2329" spans="1:2" x14ac:dyDescent="0.25">
      <c r="A2329" t="s">
        <v>2494</v>
      </c>
      <c r="B2329" s="23">
        <v>58</v>
      </c>
    </row>
    <row r="2330" spans="1:2" x14ac:dyDescent="0.25">
      <c r="A2330" t="s">
        <v>2495</v>
      </c>
      <c r="B2330" s="23">
        <v>57</v>
      </c>
    </row>
    <row r="2331" spans="1:2" x14ac:dyDescent="0.25">
      <c r="A2331" t="s">
        <v>2496</v>
      </c>
      <c r="B2331" s="23">
        <v>57</v>
      </c>
    </row>
    <row r="2332" spans="1:2" x14ac:dyDescent="0.25">
      <c r="A2332" t="s">
        <v>2497</v>
      </c>
      <c r="B2332" s="23">
        <v>56</v>
      </c>
    </row>
    <row r="2333" spans="1:2" x14ac:dyDescent="0.25">
      <c r="A2333" t="s">
        <v>2498</v>
      </c>
      <c r="B2333" s="23">
        <v>56</v>
      </c>
    </row>
    <row r="2334" spans="1:2" x14ac:dyDescent="0.25">
      <c r="A2334" t="s">
        <v>2499</v>
      </c>
      <c r="B2334" s="23">
        <v>55</v>
      </c>
    </row>
    <row r="2335" spans="1:2" x14ac:dyDescent="0.25">
      <c r="A2335" t="s">
        <v>2500</v>
      </c>
      <c r="B2335" s="23">
        <v>55</v>
      </c>
    </row>
    <row r="2336" spans="1:2" x14ac:dyDescent="0.25">
      <c r="A2336" t="s">
        <v>2501</v>
      </c>
      <c r="B2336" s="23">
        <v>54</v>
      </c>
    </row>
    <row r="2337" spans="1:2" x14ac:dyDescent="0.25">
      <c r="A2337" t="s">
        <v>2502</v>
      </c>
      <c r="B2337" s="23">
        <v>54</v>
      </c>
    </row>
    <row r="2338" spans="1:2" x14ac:dyDescent="0.25">
      <c r="A2338" t="s">
        <v>2503</v>
      </c>
      <c r="B2338" s="23">
        <v>53</v>
      </c>
    </row>
    <row r="2339" spans="1:2" x14ac:dyDescent="0.25">
      <c r="A2339" t="s">
        <v>2504</v>
      </c>
      <c r="B2339" s="23">
        <v>53</v>
      </c>
    </row>
    <row r="2340" spans="1:2" x14ac:dyDescent="0.25">
      <c r="A2340" t="s">
        <v>2505</v>
      </c>
      <c r="B2340" s="23">
        <v>52</v>
      </c>
    </row>
    <row r="2341" spans="1:2" x14ac:dyDescent="0.25">
      <c r="A2341" t="s">
        <v>2506</v>
      </c>
      <c r="B2341" s="23">
        <v>52</v>
      </c>
    </row>
    <row r="2342" spans="1:2" x14ac:dyDescent="0.25">
      <c r="A2342" t="s">
        <v>2507</v>
      </c>
      <c r="B2342" s="23">
        <v>51</v>
      </c>
    </row>
    <row r="2343" spans="1:2" x14ac:dyDescent="0.25">
      <c r="A2343" t="s">
        <v>2508</v>
      </c>
      <c r="B2343" s="23">
        <v>51</v>
      </c>
    </row>
    <row r="2344" spans="1:2" x14ac:dyDescent="0.25">
      <c r="A2344" t="s">
        <v>2509</v>
      </c>
      <c r="B2344" s="23">
        <v>51</v>
      </c>
    </row>
    <row r="2345" spans="1:2" x14ac:dyDescent="0.25">
      <c r="A2345" t="s">
        <v>2510</v>
      </c>
      <c r="B2345" s="23">
        <v>51</v>
      </c>
    </row>
    <row r="2346" spans="1:2" x14ac:dyDescent="0.25">
      <c r="A2346" t="s">
        <v>2511</v>
      </c>
      <c r="B2346" s="23">
        <v>50</v>
      </c>
    </row>
    <row r="2347" spans="1:2" x14ac:dyDescent="0.25">
      <c r="A2347" t="s">
        <v>2512</v>
      </c>
      <c r="B2347" s="23">
        <v>50</v>
      </c>
    </row>
    <row r="2348" spans="1:2" x14ac:dyDescent="0.25">
      <c r="A2348" t="s">
        <v>2513</v>
      </c>
      <c r="B2348" s="23">
        <v>49</v>
      </c>
    </row>
    <row r="2349" spans="1:2" x14ac:dyDescent="0.25">
      <c r="A2349" t="s">
        <v>2514</v>
      </c>
      <c r="B2349" s="23">
        <v>49</v>
      </c>
    </row>
    <row r="2350" spans="1:2" x14ac:dyDescent="0.25">
      <c r="A2350" t="s">
        <v>2515</v>
      </c>
      <c r="B2350" s="23">
        <v>48</v>
      </c>
    </row>
    <row r="2351" spans="1:2" x14ac:dyDescent="0.25">
      <c r="A2351" t="s">
        <v>2516</v>
      </c>
      <c r="B2351" s="23">
        <v>48</v>
      </c>
    </row>
    <row r="2352" spans="1:2" x14ac:dyDescent="0.25">
      <c r="A2352" t="s">
        <v>2517</v>
      </c>
      <c r="B2352" s="23">
        <v>47</v>
      </c>
    </row>
    <row r="2353" spans="1:2" x14ac:dyDescent="0.25">
      <c r="A2353" t="s">
        <v>2518</v>
      </c>
      <c r="B2353" s="23">
        <v>47</v>
      </c>
    </row>
    <row r="2354" spans="1:2" x14ac:dyDescent="0.25">
      <c r="A2354" t="s">
        <v>2519</v>
      </c>
      <c r="B2354" s="23">
        <v>46</v>
      </c>
    </row>
    <row r="2355" spans="1:2" x14ac:dyDescent="0.25">
      <c r="A2355" t="s">
        <v>2520</v>
      </c>
      <c r="B2355" s="23">
        <v>46</v>
      </c>
    </row>
    <row r="2356" spans="1:2" x14ac:dyDescent="0.25">
      <c r="A2356" t="s">
        <v>2521</v>
      </c>
      <c r="B2356" s="23">
        <v>45</v>
      </c>
    </row>
    <row r="2357" spans="1:2" x14ac:dyDescent="0.25">
      <c r="A2357" t="s">
        <v>2522</v>
      </c>
      <c r="B2357" s="23">
        <v>45</v>
      </c>
    </row>
    <row r="2358" spans="1:2" x14ac:dyDescent="0.25">
      <c r="A2358" t="s">
        <v>2523</v>
      </c>
      <c r="B2358" s="23">
        <v>45</v>
      </c>
    </row>
    <row r="2359" spans="1:2" x14ac:dyDescent="0.25">
      <c r="A2359" t="s">
        <v>2524</v>
      </c>
      <c r="B2359" s="23">
        <v>45</v>
      </c>
    </row>
    <row r="2360" spans="1:2" x14ac:dyDescent="0.25">
      <c r="A2360" t="s">
        <v>2525</v>
      </c>
      <c r="B2360" s="23">
        <v>45</v>
      </c>
    </row>
    <row r="2361" spans="1:2" x14ac:dyDescent="0.25">
      <c r="A2361" t="s">
        <v>2526</v>
      </c>
      <c r="B2361" s="23">
        <v>44</v>
      </c>
    </row>
    <row r="2362" spans="1:2" x14ac:dyDescent="0.25">
      <c r="A2362" t="s">
        <v>2527</v>
      </c>
      <c r="B2362" s="23">
        <v>44</v>
      </c>
    </row>
    <row r="2363" spans="1:2" x14ac:dyDescent="0.25">
      <c r="A2363" t="s">
        <v>2528</v>
      </c>
      <c r="B2363" s="23">
        <v>44</v>
      </c>
    </row>
    <row r="2364" spans="1:2" x14ac:dyDescent="0.25">
      <c r="A2364" t="s">
        <v>2529</v>
      </c>
      <c r="B2364" s="23">
        <v>44</v>
      </c>
    </row>
    <row r="2365" spans="1:2" x14ac:dyDescent="0.25">
      <c r="A2365" t="s">
        <v>2530</v>
      </c>
      <c r="B2365" s="23">
        <v>44</v>
      </c>
    </row>
    <row r="2366" spans="1:2" x14ac:dyDescent="0.25">
      <c r="A2366" t="s">
        <v>2531</v>
      </c>
      <c r="B2366" s="23">
        <v>43</v>
      </c>
    </row>
    <row r="2367" spans="1:2" x14ac:dyDescent="0.25">
      <c r="A2367" t="s">
        <v>2532</v>
      </c>
      <c r="B2367" s="23">
        <v>43</v>
      </c>
    </row>
    <row r="2368" spans="1:2" x14ac:dyDescent="0.25">
      <c r="A2368" t="s">
        <v>2533</v>
      </c>
      <c r="B2368" s="23">
        <v>43</v>
      </c>
    </row>
    <row r="2369" spans="1:2" x14ac:dyDescent="0.25">
      <c r="A2369" t="s">
        <v>2534</v>
      </c>
      <c r="B2369" s="23">
        <v>43</v>
      </c>
    </row>
    <row r="2370" spans="1:2" x14ac:dyDescent="0.25">
      <c r="A2370" t="s">
        <v>2535</v>
      </c>
      <c r="B2370" s="23">
        <v>43</v>
      </c>
    </row>
    <row r="2371" spans="1:2" x14ac:dyDescent="0.25">
      <c r="A2371" t="s">
        <v>2536</v>
      </c>
      <c r="B2371" s="23">
        <v>42</v>
      </c>
    </row>
    <row r="2372" spans="1:2" x14ac:dyDescent="0.25">
      <c r="A2372" t="s">
        <v>2537</v>
      </c>
      <c r="B2372" s="23">
        <v>42</v>
      </c>
    </row>
    <row r="2373" spans="1:2" x14ac:dyDescent="0.25">
      <c r="A2373" t="s">
        <v>2538</v>
      </c>
      <c r="B2373" s="23">
        <v>42</v>
      </c>
    </row>
    <row r="2374" spans="1:2" x14ac:dyDescent="0.25">
      <c r="A2374" t="s">
        <v>2539</v>
      </c>
      <c r="B2374" s="23">
        <v>42</v>
      </c>
    </row>
    <row r="2375" spans="1:2" x14ac:dyDescent="0.25">
      <c r="A2375" t="s">
        <v>2540</v>
      </c>
      <c r="B2375" s="23">
        <v>42</v>
      </c>
    </row>
    <row r="2376" spans="1:2" x14ac:dyDescent="0.25">
      <c r="A2376" t="s">
        <v>2541</v>
      </c>
      <c r="B2376" s="23">
        <v>41</v>
      </c>
    </row>
    <row r="2377" spans="1:2" x14ac:dyDescent="0.25">
      <c r="A2377" t="s">
        <v>2542</v>
      </c>
      <c r="B2377" s="23">
        <v>41</v>
      </c>
    </row>
    <row r="2378" spans="1:2" x14ac:dyDescent="0.25">
      <c r="A2378" t="s">
        <v>2543</v>
      </c>
      <c r="B2378" s="23">
        <v>41</v>
      </c>
    </row>
    <row r="2379" spans="1:2" x14ac:dyDescent="0.25">
      <c r="A2379" t="s">
        <v>2544</v>
      </c>
      <c r="B2379" s="23">
        <v>41</v>
      </c>
    </row>
    <row r="2380" spans="1:2" x14ac:dyDescent="0.25">
      <c r="A2380" t="s">
        <v>2545</v>
      </c>
      <c r="B2380" s="23">
        <v>41</v>
      </c>
    </row>
    <row r="2381" spans="1:2" x14ac:dyDescent="0.25">
      <c r="A2381" t="s">
        <v>2546</v>
      </c>
      <c r="B2381" s="23">
        <v>40</v>
      </c>
    </row>
    <row r="2382" spans="1:2" x14ac:dyDescent="0.25">
      <c r="A2382" t="s">
        <v>2547</v>
      </c>
      <c r="B2382" s="23">
        <v>40</v>
      </c>
    </row>
    <row r="2383" spans="1:2" x14ac:dyDescent="0.25">
      <c r="A2383" t="s">
        <v>2548</v>
      </c>
      <c r="B2383" s="23">
        <v>40</v>
      </c>
    </row>
    <row r="2384" spans="1:2" x14ac:dyDescent="0.25">
      <c r="A2384" t="s">
        <v>2549</v>
      </c>
      <c r="B2384" s="23">
        <v>40</v>
      </c>
    </row>
    <row r="2385" spans="1:2" x14ac:dyDescent="0.25">
      <c r="A2385" t="s">
        <v>2550</v>
      </c>
      <c r="B2385" s="23">
        <v>40</v>
      </c>
    </row>
    <row r="2386" spans="1:2" x14ac:dyDescent="0.25">
      <c r="A2386" t="s">
        <v>2551</v>
      </c>
      <c r="B2386" s="23">
        <v>39</v>
      </c>
    </row>
    <row r="2387" spans="1:2" x14ac:dyDescent="0.25">
      <c r="A2387" t="s">
        <v>2552</v>
      </c>
      <c r="B2387" s="23">
        <v>39</v>
      </c>
    </row>
    <row r="2388" spans="1:2" x14ac:dyDescent="0.25">
      <c r="A2388" t="s">
        <v>2553</v>
      </c>
      <c r="B2388" s="23">
        <v>39</v>
      </c>
    </row>
    <row r="2389" spans="1:2" x14ac:dyDescent="0.25">
      <c r="A2389" t="s">
        <v>2554</v>
      </c>
      <c r="B2389" s="23">
        <v>39</v>
      </c>
    </row>
    <row r="2390" spans="1:2" x14ac:dyDescent="0.25">
      <c r="A2390" t="s">
        <v>2555</v>
      </c>
      <c r="B2390" s="23">
        <v>39</v>
      </c>
    </row>
    <row r="2391" spans="1:2" x14ac:dyDescent="0.25">
      <c r="A2391" t="s">
        <v>2556</v>
      </c>
      <c r="B2391" s="23">
        <v>38</v>
      </c>
    </row>
    <row r="2392" spans="1:2" x14ac:dyDescent="0.25">
      <c r="A2392" t="s">
        <v>2557</v>
      </c>
      <c r="B2392" s="23">
        <v>38</v>
      </c>
    </row>
    <row r="2393" spans="1:2" x14ac:dyDescent="0.25">
      <c r="A2393" t="s">
        <v>2558</v>
      </c>
      <c r="B2393" s="23">
        <v>38</v>
      </c>
    </row>
    <row r="2394" spans="1:2" x14ac:dyDescent="0.25">
      <c r="A2394" t="s">
        <v>2559</v>
      </c>
      <c r="B2394" s="23">
        <v>38</v>
      </c>
    </row>
    <row r="2395" spans="1:2" x14ac:dyDescent="0.25">
      <c r="A2395" t="s">
        <v>2560</v>
      </c>
      <c r="B2395" s="23">
        <v>38</v>
      </c>
    </row>
    <row r="2396" spans="1:2" x14ac:dyDescent="0.25">
      <c r="A2396" t="s">
        <v>2561</v>
      </c>
      <c r="B2396" s="23">
        <v>37</v>
      </c>
    </row>
    <row r="2397" spans="1:2" x14ac:dyDescent="0.25">
      <c r="A2397" t="s">
        <v>2562</v>
      </c>
      <c r="B2397" s="23">
        <v>37</v>
      </c>
    </row>
    <row r="2398" spans="1:2" x14ac:dyDescent="0.25">
      <c r="A2398" t="s">
        <v>2563</v>
      </c>
      <c r="B2398" s="23">
        <v>37</v>
      </c>
    </row>
    <row r="2399" spans="1:2" x14ac:dyDescent="0.25">
      <c r="A2399" t="s">
        <v>2564</v>
      </c>
      <c r="B2399" s="23">
        <v>37</v>
      </c>
    </row>
    <row r="2400" spans="1:2" x14ac:dyDescent="0.25">
      <c r="A2400" t="s">
        <v>2565</v>
      </c>
      <c r="B2400" s="23">
        <v>37</v>
      </c>
    </row>
    <row r="2401" spans="1:2" x14ac:dyDescent="0.25">
      <c r="A2401" t="s">
        <v>2566</v>
      </c>
      <c r="B2401" s="23">
        <v>36</v>
      </c>
    </row>
    <row r="2402" spans="1:2" x14ac:dyDescent="0.25">
      <c r="A2402" t="s">
        <v>2567</v>
      </c>
      <c r="B2402" s="23">
        <v>36</v>
      </c>
    </row>
    <row r="2403" spans="1:2" x14ac:dyDescent="0.25">
      <c r="A2403" t="s">
        <v>2568</v>
      </c>
      <c r="B2403" s="23">
        <v>36</v>
      </c>
    </row>
    <row r="2404" spans="1:2" x14ac:dyDescent="0.25">
      <c r="A2404" t="s">
        <v>2569</v>
      </c>
      <c r="B2404" s="23">
        <v>36</v>
      </c>
    </row>
    <row r="2405" spans="1:2" x14ac:dyDescent="0.25">
      <c r="A2405" t="s">
        <v>2570</v>
      </c>
      <c r="B2405" s="23">
        <v>36</v>
      </c>
    </row>
    <row r="2406" spans="1:2" x14ac:dyDescent="0.25">
      <c r="A2406" t="s">
        <v>2571</v>
      </c>
      <c r="B2406" s="23">
        <v>35</v>
      </c>
    </row>
    <row r="2407" spans="1:2" x14ac:dyDescent="0.25">
      <c r="A2407" t="s">
        <v>2572</v>
      </c>
      <c r="B2407" s="23">
        <v>35</v>
      </c>
    </row>
    <row r="2408" spans="1:2" x14ac:dyDescent="0.25">
      <c r="A2408" t="s">
        <v>2573</v>
      </c>
      <c r="B2408" s="23">
        <v>35</v>
      </c>
    </row>
    <row r="2409" spans="1:2" x14ac:dyDescent="0.25">
      <c r="A2409" t="s">
        <v>2574</v>
      </c>
      <c r="B2409" s="23">
        <v>35</v>
      </c>
    </row>
    <row r="2410" spans="1:2" x14ac:dyDescent="0.25">
      <c r="A2410" t="s">
        <v>2575</v>
      </c>
      <c r="B2410" s="23">
        <v>35</v>
      </c>
    </row>
    <row r="2411" spans="1:2" x14ac:dyDescent="0.25">
      <c r="A2411" t="s">
        <v>2576</v>
      </c>
      <c r="B2411" s="23">
        <v>34</v>
      </c>
    </row>
    <row r="2412" spans="1:2" x14ac:dyDescent="0.25">
      <c r="A2412" t="s">
        <v>2577</v>
      </c>
      <c r="B2412" s="23">
        <v>34</v>
      </c>
    </row>
    <row r="2413" spans="1:2" x14ac:dyDescent="0.25">
      <c r="A2413" t="s">
        <v>2578</v>
      </c>
      <c r="B2413" s="23">
        <v>34</v>
      </c>
    </row>
    <row r="2414" spans="1:2" x14ac:dyDescent="0.25">
      <c r="A2414" t="s">
        <v>2579</v>
      </c>
      <c r="B2414" s="23">
        <v>34</v>
      </c>
    </row>
    <row r="2415" spans="1:2" x14ac:dyDescent="0.25">
      <c r="A2415" t="s">
        <v>2580</v>
      </c>
      <c r="B2415" s="23">
        <v>34</v>
      </c>
    </row>
    <row r="2416" spans="1:2" x14ac:dyDescent="0.25">
      <c r="A2416" t="s">
        <v>2581</v>
      </c>
      <c r="B2416" s="23">
        <v>33</v>
      </c>
    </row>
    <row r="2417" spans="1:2" x14ac:dyDescent="0.25">
      <c r="A2417" t="s">
        <v>2582</v>
      </c>
      <c r="B2417" s="23">
        <v>33</v>
      </c>
    </row>
    <row r="2418" spans="1:2" x14ac:dyDescent="0.25">
      <c r="A2418" t="s">
        <v>2583</v>
      </c>
      <c r="B2418" s="23">
        <v>33</v>
      </c>
    </row>
    <row r="2419" spans="1:2" x14ac:dyDescent="0.25">
      <c r="A2419" t="s">
        <v>2584</v>
      </c>
      <c r="B2419" s="23">
        <v>33</v>
      </c>
    </row>
    <row r="2420" spans="1:2" x14ac:dyDescent="0.25">
      <c r="A2420" t="s">
        <v>2585</v>
      </c>
      <c r="B2420" s="23">
        <v>33</v>
      </c>
    </row>
    <row r="2421" spans="1:2" x14ac:dyDescent="0.25">
      <c r="A2421" t="s">
        <v>2586</v>
      </c>
      <c r="B2421" s="23">
        <v>32</v>
      </c>
    </row>
    <row r="2422" spans="1:2" x14ac:dyDescent="0.25">
      <c r="A2422" t="s">
        <v>2587</v>
      </c>
      <c r="B2422" s="23">
        <v>32</v>
      </c>
    </row>
    <row r="2423" spans="1:2" x14ac:dyDescent="0.25">
      <c r="A2423" t="s">
        <v>2588</v>
      </c>
      <c r="B2423" s="23">
        <v>32</v>
      </c>
    </row>
    <row r="2424" spans="1:2" x14ac:dyDescent="0.25">
      <c r="A2424" t="s">
        <v>2589</v>
      </c>
      <c r="B2424" s="23">
        <v>32</v>
      </c>
    </row>
    <row r="2425" spans="1:2" x14ac:dyDescent="0.25">
      <c r="A2425" t="s">
        <v>2590</v>
      </c>
      <c r="B2425" s="23">
        <v>32</v>
      </c>
    </row>
    <row r="2426" spans="1:2" x14ac:dyDescent="0.25">
      <c r="A2426" t="s">
        <v>2591</v>
      </c>
      <c r="B2426" s="23">
        <v>31</v>
      </c>
    </row>
    <row r="2427" spans="1:2" x14ac:dyDescent="0.25">
      <c r="A2427" t="s">
        <v>2592</v>
      </c>
      <c r="B2427" s="23">
        <v>31</v>
      </c>
    </row>
    <row r="2428" spans="1:2" x14ac:dyDescent="0.25">
      <c r="A2428" t="s">
        <v>2593</v>
      </c>
      <c r="B2428" s="23">
        <v>31</v>
      </c>
    </row>
    <row r="2429" spans="1:2" x14ac:dyDescent="0.25">
      <c r="A2429" t="s">
        <v>2594</v>
      </c>
      <c r="B2429" s="23">
        <v>31</v>
      </c>
    </row>
    <row r="2430" spans="1:2" x14ac:dyDescent="0.25">
      <c r="A2430" t="s">
        <v>2595</v>
      </c>
      <c r="B2430" s="23">
        <v>31</v>
      </c>
    </row>
    <row r="2431" spans="1:2" x14ac:dyDescent="0.25">
      <c r="A2431" t="s">
        <v>2596</v>
      </c>
      <c r="B2431" s="23">
        <v>30</v>
      </c>
    </row>
    <row r="2432" spans="1:2" x14ac:dyDescent="0.25">
      <c r="A2432" t="s">
        <v>2597</v>
      </c>
      <c r="B2432" s="23">
        <v>30</v>
      </c>
    </row>
    <row r="2433" spans="1:2" x14ac:dyDescent="0.25">
      <c r="A2433" t="s">
        <v>2598</v>
      </c>
      <c r="B2433" s="23">
        <v>30</v>
      </c>
    </row>
    <row r="2434" spans="1:2" x14ac:dyDescent="0.25">
      <c r="A2434" t="s">
        <v>2599</v>
      </c>
      <c r="B2434" s="23">
        <v>30</v>
      </c>
    </row>
    <row r="2435" spans="1:2" x14ac:dyDescent="0.25">
      <c r="A2435" t="s">
        <v>2600</v>
      </c>
      <c r="B2435" s="23">
        <v>30</v>
      </c>
    </row>
    <row r="2436" spans="1:2" x14ac:dyDescent="0.25">
      <c r="A2436" t="s">
        <v>2601</v>
      </c>
      <c r="B2436" s="23">
        <v>29</v>
      </c>
    </row>
    <row r="2437" spans="1:2" x14ac:dyDescent="0.25">
      <c r="A2437" t="s">
        <v>2602</v>
      </c>
      <c r="B2437" s="23">
        <v>29</v>
      </c>
    </row>
    <row r="2438" spans="1:2" x14ac:dyDescent="0.25">
      <c r="A2438" t="s">
        <v>2603</v>
      </c>
      <c r="B2438" s="23">
        <v>29</v>
      </c>
    </row>
    <row r="2439" spans="1:2" x14ac:dyDescent="0.25">
      <c r="A2439" t="s">
        <v>2604</v>
      </c>
      <c r="B2439" s="23">
        <v>29</v>
      </c>
    </row>
    <row r="2440" spans="1:2" x14ac:dyDescent="0.25">
      <c r="A2440" t="s">
        <v>2605</v>
      </c>
      <c r="B2440" s="23">
        <v>29</v>
      </c>
    </row>
    <row r="2441" spans="1:2" x14ac:dyDescent="0.25">
      <c r="A2441" t="s">
        <v>2606</v>
      </c>
      <c r="B2441" s="23">
        <v>28</v>
      </c>
    </row>
    <row r="2442" spans="1:2" x14ac:dyDescent="0.25">
      <c r="A2442" t="s">
        <v>2607</v>
      </c>
      <c r="B2442" s="23">
        <v>28</v>
      </c>
    </row>
    <row r="2443" spans="1:2" x14ac:dyDescent="0.25">
      <c r="A2443" t="s">
        <v>2608</v>
      </c>
      <c r="B2443" s="23">
        <v>28</v>
      </c>
    </row>
    <row r="2444" spans="1:2" x14ac:dyDescent="0.25">
      <c r="A2444" t="s">
        <v>2609</v>
      </c>
      <c r="B2444" s="23">
        <v>28</v>
      </c>
    </row>
    <row r="2445" spans="1:2" x14ac:dyDescent="0.25">
      <c r="A2445" t="s">
        <v>2610</v>
      </c>
      <c r="B2445" s="23">
        <v>28</v>
      </c>
    </row>
    <row r="2446" spans="1:2" x14ac:dyDescent="0.25">
      <c r="A2446" t="s">
        <v>2611</v>
      </c>
      <c r="B2446" s="23">
        <v>27</v>
      </c>
    </row>
    <row r="2447" spans="1:2" x14ac:dyDescent="0.25">
      <c r="A2447" t="s">
        <v>2612</v>
      </c>
      <c r="B2447" s="23">
        <v>27</v>
      </c>
    </row>
    <row r="2448" spans="1:2" x14ac:dyDescent="0.25">
      <c r="A2448" t="s">
        <v>2613</v>
      </c>
      <c r="B2448" s="23">
        <v>27</v>
      </c>
    </row>
    <row r="2449" spans="1:2" x14ac:dyDescent="0.25">
      <c r="A2449" t="s">
        <v>2614</v>
      </c>
      <c r="B2449" s="23">
        <v>27</v>
      </c>
    </row>
    <row r="2450" spans="1:2" x14ac:dyDescent="0.25">
      <c r="A2450" t="s">
        <v>2615</v>
      </c>
      <c r="B2450" s="23">
        <v>27</v>
      </c>
    </row>
    <row r="2451" spans="1:2" x14ac:dyDescent="0.25">
      <c r="A2451" t="s">
        <v>2616</v>
      </c>
      <c r="B2451" s="23">
        <v>26</v>
      </c>
    </row>
    <row r="2452" spans="1:2" x14ac:dyDescent="0.25">
      <c r="A2452" t="s">
        <v>2617</v>
      </c>
      <c r="B2452" s="23">
        <v>26</v>
      </c>
    </row>
    <row r="2453" spans="1:2" x14ac:dyDescent="0.25">
      <c r="A2453" t="s">
        <v>2618</v>
      </c>
      <c r="B2453" s="23">
        <v>26</v>
      </c>
    </row>
    <row r="2454" spans="1:2" x14ac:dyDescent="0.25">
      <c r="A2454" t="s">
        <v>2619</v>
      </c>
      <c r="B2454" s="23">
        <v>26</v>
      </c>
    </row>
    <row r="2455" spans="1:2" x14ac:dyDescent="0.25">
      <c r="A2455" t="s">
        <v>2620</v>
      </c>
      <c r="B2455" s="23">
        <v>26</v>
      </c>
    </row>
    <row r="2456" spans="1:2" x14ac:dyDescent="0.25">
      <c r="A2456" t="s">
        <v>2621</v>
      </c>
      <c r="B2456" s="23">
        <v>25</v>
      </c>
    </row>
    <row r="2457" spans="1:2" x14ac:dyDescent="0.25">
      <c r="A2457" t="s">
        <v>2622</v>
      </c>
      <c r="B2457" s="23">
        <v>25</v>
      </c>
    </row>
    <row r="2458" spans="1:2" x14ac:dyDescent="0.25">
      <c r="A2458" t="s">
        <v>2623</v>
      </c>
      <c r="B2458" s="23">
        <v>25</v>
      </c>
    </row>
    <row r="2459" spans="1:2" x14ac:dyDescent="0.25">
      <c r="A2459" t="s">
        <v>2624</v>
      </c>
      <c r="B2459" s="23">
        <v>25</v>
      </c>
    </row>
    <row r="2460" spans="1:2" x14ac:dyDescent="0.25">
      <c r="A2460" t="s">
        <v>2625</v>
      </c>
      <c r="B2460" s="23">
        <v>25</v>
      </c>
    </row>
    <row r="2461" spans="1:2" x14ac:dyDescent="0.25">
      <c r="A2461" t="s">
        <v>2626</v>
      </c>
      <c r="B2461" s="23">
        <v>25</v>
      </c>
    </row>
    <row r="2462" spans="1:2" x14ac:dyDescent="0.25">
      <c r="A2462" t="s">
        <v>2627</v>
      </c>
      <c r="B2462" s="23">
        <v>25</v>
      </c>
    </row>
    <row r="2463" spans="1:2" x14ac:dyDescent="0.25">
      <c r="A2463" t="s">
        <v>2628</v>
      </c>
      <c r="B2463" s="23">
        <v>25</v>
      </c>
    </row>
    <row r="2464" spans="1:2" x14ac:dyDescent="0.25">
      <c r="A2464" t="s">
        <v>2629</v>
      </c>
      <c r="B2464" s="23">
        <v>25</v>
      </c>
    </row>
    <row r="2465" spans="1:2" x14ac:dyDescent="0.25">
      <c r="A2465" t="s">
        <v>2630</v>
      </c>
      <c r="B2465" s="23">
        <v>25</v>
      </c>
    </row>
    <row r="2466" spans="1:2" x14ac:dyDescent="0.25">
      <c r="A2466" t="s">
        <v>2631</v>
      </c>
      <c r="B2466" s="23">
        <v>24</v>
      </c>
    </row>
    <row r="2467" spans="1:2" x14ac:dyDescent="0.25">
      <c r="A2467" t="s">
        <v>2632</v>
      </c>
      <c r="B2467" s="23">
        <v>24</v>
      </c>
    </row>
    <row r="2468" spans="1:2" x14ac:dyDescent="0.25">
      <c r="A2468" t="s">
        <v>2633</v>
      </c>
      <c r="B2468" s="23">
        <v>24</v>
      </c>
    </row>
    <row r="2469" spans="1:2" x14ac:dyDescent="0.25">
      <c r="A2469" t="s">
        <v>2634</v>
      </c>
      <c r="B2469" s="23">
        <v>24</v>
      </c>
    </row>
    <row r="2470" spans="1:2" x14ac:dyDescent="0.25">
      <c r="A2470" t="s">
        <v>2635</v>
      </c>
      <c r="B2470" s="23">
        <v>24</v>
      </c>
    </row>
    <row r="2471" spans="1:2" x14ac:dyDescent="0.25">
      <c r="A2471" t="s">
        <v>2636</v>
      </c>
      <c r="B2471" s="23">
        <v>24</v>
      </c>
    </row>
    <row r="2472" spans="1:2" x14ac:dyDescent="0.25">
      <c r="A2472" t="s">
        <v>2637</v>
      </c>
      <c r="B2472" s="23">
        <v>24</v>
      </c>
    </row>
    <row r="2473" spans="1:2" x14ac:dyDescent="0.25">
      <c r="A2473" t="s">
        <v>2638</v>
      </c>
      <c r="B2473" s="23">
        <v>24</v>
      </c>
    </row>
    <row r="2474" spans="1:2" x14ac:dyDescent="0.25">
      <c r="A2474" t="s">
        <v>2639</v>
      </c>
      <c r="B2474" s="23">
        <v>24</v>
      </c>
    </row>
    <row r="2475" spans="1:2" x14ac:dyDescent="0.25">
      <c r="A2475" t="s">
        <v>2640</v>
      </c>
      <c r="B2475" s="23">
        <v>24</v>
      </c>
    </row>
    <row r="2476" spans="1:2" x14ac:dyDescent="0.25">
      <c r="A2476" t="s">
        <v>2641</v>
      </c>
      <c r="B2476" s="23">
        <v>23</v>
      </c>
    </row>
    <row r="2477" spans="1:2" x14ac:dyDescent="0.25">
      <c r="A2477" t="s">
        <v>2642</v>
      </c>
      <c r="B2477" s="23">
        <v>23</v>
      </c>
    </row>
    <row r="2478" spans="1:2" x14ac:dyDescent="0.25">
      <c r="A2478" t="s">
        <v>2643</v>
      </c>
      <c r="B2478" s="23">
        <v>23</v>
      </c>
    </row>
    <row r="2479" spans="1:2" x14ac:dyDescent="0.25">
      <c r="A2479" t="s">
        <v>2644</v>
      </c>
      <c r="B2479" s="23">
        <v>23</v>
      </c>
    </row>
    <row r="2480" spans="1:2" x14ac:dyDescent="0.25">
      <c r="A2480" t="s">
        <v>2645</v>
      </c>
      <c r="B2480" s="23">
        <v>23</v>
      </c>
    </row>
    <row r="2481" spans="1:2" x14ac:dyDescent="0.25">
      <c r="A2481" t="s">
        <v>2646</v>
      </c>
      <c r="B2481" s="23">
        <v>23</v>
      </c>
    </row>
    <row r="2482" spans="1:2" x14ac:dyDescent="0.25">
      <c r="A2482" t="s">
        <v>2647</v>
      </c>
      <c r="B2482" s="23">
        <v>23</v>
      </c>
    </row>
    <row r="2483" spans="1:2" x14ac:dyDescent="0.25">
      <c r="A2483" t="s">
        <v>2648</v>
      </c>
      <c r="B2483" s="23">
        <v>23</v>
      </c>
    </row>
    <row r="2484" spans="1:2" x14ac:dyDescent="0.25">
      <c r="A2484" t="s">
        <v>2649</v>
      </c>
      <c r="B2484" s="23">
        <v>23</v>
      </c>
    </row>
    <row r="2485" spans="1:2" x14ac:dyDescent="0.25">
      <c r="A2485" t="s">
        <v>2650</v>
      </c>
      <c r="B2485" s="23">
        <v>23</v>
      </c>
    </row>
    <row r="2486" spans="1:2" x14ac:dyDescent="0.25">
      <c r="A2486" t="s">
        <v>2651</v>
      </c>
      <c r="B2486" s="23">
        <v>22</v>
      </c>
    </row>
    <row r="2487" spans="1:2" x14ac:dyDescent="0.25">
      <c r="A2487" t="s">
        <v>2652</v>
      </c>
      <c r="B2487" s="23">
        <v>22</v>
      </c>
    </row>
    <row r="2488" spans="1:2" x14ac:dyDescent="0.25">
      <c r="A2488" t="s">
        <v>2653</v>
      </c>
      <c r="B2488" s="23">
        <v>22</v>
      </c>
    </row>
    <row r="2489" spans="1:2" x14ac:dyDescent="0.25">
      <c r="A2489" t="s">
        <v>2654</v>
      </c>
      <c r="B2489" s="23">
        <v>22</v>
      </c>
    </row>
    <row r="2490" spans="1:2" x14ac:dyDescent="0.25">
      <c r="A2490" t="s">
        <v>2655</v>
      </c>
      <c r="B2490" s="23">
        <v>22</v>
      </c>
    </row>
    <row r="2491" spans="1:2" x14ac:dyDescent="0.25">
      <c r="A2491" t="s">
        <v>2656</v>
      </c>
      <c r="B2491" s="23">
        <v>22</v>
      </c>
    </row>
    <row r="2492" spans="1:2" x14ac:dyDescent="0.25">
      <c r="A2492" t="s">
        <v>2657</v>
      </c>
      <c r="B2492" s="23">
        <v>22</v>
      </c>
    </row>
    <row r="2493" spans="1:2" x14ac:dyDescent="0.25">
      <c r="A2493" t="s">
        <v>2658</v>
      </c>
      <c r="B2493" s="23">
        <v>22</v>
      </c>
    </row>
    <row r="2494" spans="1:2" x14ac:dyDescent="0.25">
      <c r="A2494" t="s">
        <v>2659</v>
      </c>
      <c r="B2494" s="23">
        <v>22</v>
      </c>
    </row>
    <row r="2495" spans="1:2" x14ac:dyDescent="0.25">
      <c r="A2495" t="s">
        <v>2660</v>
      </c>
      <c r="B2495" s="23">
        <v>22</v>
      </c>
    </row>
    <row r="2496" spans="1:2" x14ac:dyDescent="0.25">
      <c r="A2496" t="s">
        <v>2661</v>
      </c>
      <c r="B2496" s="23">
        <v>21</v>
      </c>
    </row>
    <row r="2497" spans="1:2" x14ac:dyDescent="0.25">
      <c r="A2497" t="s">
        <v>2662</v>
      </c>
      <c r="B2497" s="23">
        <v>21</v>
      </c>
    </row>
    <row r="2498" spans="1:2" x14ac:dyDescent="0.25">
      <c r="A2498" t="s">
        <v>2663</v>
      </c>
      <c r="B2498" s="23">
        <v>21</v>
      </c>
    </row>
    <row r="2499" spans="1:2" x14ac:dyDescent="0.25">
      <c r="A2499" t="s">
        <v>2664</v>
      </c>
      <c r="B2499" s="23">
        <v>21</v>
      </c>
    </row>
    <row r="2500" spans="1:2" x14ac:dyDescent="0.25">
      <c r="A2500" t="s">
        <v>2665</v>
      </c>
      <c r="B2500" s="23">
        <v>21</v>
      </c>
    </row>
    <row r="2501" spans="1:2" x14ac:dyDescent="0.25">
      <c r="A2501" t="s">
        <v>2666</v>
      </c>
      <c r="B2501" s="23">
        <v>21</v>
      </c>
    </row>
    <row r="2502" spans="1:2" x14ac:dyDescent="0.25">
      <c r="A2502" t="s">
        <v>2667</v>
      </c>
      <c r="B2502" s="23">
        <v>21</v>
      </c>
    </row>
    <row r="2503" spans="1:2" x14ac:dyDescent="0.25">
      <c r="A2503" t="s">
        <v>2668</v>
      </c>
      <c r="B2503" s="23">
        <v>21</v>
      </c>
    </row>
    <row r="2504" spans="1:2" x14ac:dyDescent="0.25">
      <c r="A2504" t="s">
        <v>2669</v>
      </c>
      <c r="B2504" s="23">
        <v>21</v>
      </c>
    </row>
    <row r="2505" spans="1:2" x14ac:dyDescent="0.25">
      <c r="A2505" t="s">
        <v>2670</v>
      </c>
      <c r="B2505" s="23">
        <v>21</v>
      </c>
    </row>
    <row r="2506" spans="1:2" x14ac:dyDescent="0.25">
      <c r="A2506" t="s">
        <v>2671</v>
      </c>
      <c r="B2506" s="23">
        <v>20</v>
      </c>
    </row>
    <row r="2507" spans="1:2" x14ac:dyDescent="0.25">
      <c r="A2507" t="s">
        <v>2672</v>
      </c>
      <c r="B2507" s="23">
        <v>20</v>
      </c>
    </row>
    <row r="2508" spans="1:2" x14ac:dyDescent="0.25">
      <c r="A2508" t="s">
        <v>2673</v>
      </c>
      <c r="B2508" s="23">
        <v>20</v>
      </c>
    </row>
    <row r="2509" spans="1:2" x14ac:dyDescent="0.25">
      <c r="A2509" t="s">
        <v>2674</v>
      </c>
      <c r="B2509" s="23">
        <v>20</v>
      </c>
    </row>
    <row r="2510" spans="1:2" x14ac:dyDescent="0.25">
      <c r="A2510" t="s">
        <v>2675</v>
      </c>
      <c r="B2510" s="23">
        <v>20</v>
      </c>
    </row>
    <row r="2511" spans="1:2" x14ac:dyDescent="0.25">
      <c r="A2511" t="s">
        <v>2676</v>
      </c>
      <c r="B2511" s="23">
        <v>20</v>
      </c>
    </row>
    <row r="2512" spans="1:2" x14ac:dyDescent="0.25">
      <c r="A2512" t="s">
        <v>2677</v>
      </c>
      <c r="B2512" s="23">
        <v>20</v>
      </c>
    </row>
    <row r="2513" spans="1:2" x14ac:dyDescent="0.25">
      <c r="A2513" t="s">
        <v>2678</v>
      </c>
      <c r="B2513" s="23">
        <v>20</v>
      </c>
    </row>
    <row r="2514" spans="1:2" x14ac:dyDescent="0.25">
      <c r="A2514" t="s">
        <v>2679</v>
      </c>
      <c r="B2514" s="23">
        <v>20</v>
      </c>
    </row>
    <row r="2515" spans="1:2" x14ac:dyDescent="0.25">
      <c r="A2515" t="s">
        <v>2680</v>
      </c>
      <c r="B2515" s="23">
        <v>20</v>
      </c>
    </row>
    <row r="2516" spans="1:2" x14ac:dyDescent="0.25">
      <c r="A2516" t="s">
        <v>2681</v>
      </c>
      <c r="B2516" s="23">
        <v>19</v>
      </c>
    </row>
    <row r="2517" spans="1:2" x14ac:dyDescent="0.25">
      <c r="A2517" t="s">
        <v>2682</v>
      </c>
      <c r="B2517" s="23">
        <v>19</v>
      </c>
    </row>
    <row r="2518" spans="1:2" x14ac:dyDescent="0.25">
      <c r="A2518" t="s">
        <v>2683</v>
      </c>
      <c r="B2518" s="23">
        <v>19</v>
      </c>
    </row>
    <row r="2519" spans="1:2" x14ac:dyDescent="0.25">
      <c r="A2519" t="s">
        <v>2684</v>
      </c>
      <c r="B2519" s="23">
        <v>19</v>
      </c>
    </row>
    <row r="2520" spans="1:2" x14ac:dyDescent="0.25">
      <c r="A2520" t="s">
        <v>2685</v>
      </c>
      <c r="B2520" s="23">
        <v>19</v>
      </c>
    </row>
    <row r="2521" spans="1:2" x14ac:dyDescent="0.25">
      <c r="A2521" t="s">
        <v>2686</v>
      </c>
      <c r="B2521" s="23">
        <v>19</v>
      </c>
    </row>
    <row r="2522" spans="1:2" x14ac:dyDescent="0.25">
      <c r="A2522" t="s">
        <v>2687</v>
      </c>
      <c r="B2522" s="23">
        <v>19</v>
      </c>
    </row>
    <row r="2523" spans="1:2" x14ac:dyDescent="0.25">
      <c r="A2523" t="s">
        <v>2688</v>
      </c>
      <c r="B2523" s="23">
        <v>19</v>
      </c>
    </row>
    <row r="2524" spans="1:2" x14ac:dyDescent="0.25">
      <c r="A2524" t="s">
        <v>2689</v>
      </c>
      <c r="B2524" s="23">
        <v>19</v>
      </c>
    </row>
    <row r="2525" spans="1:2" x14ac:dyDescent="0.25">
      <c r="A2525" t="s">
        <v>2690</v>
      </c>
      <c r="B2525" s="23">
        <v>19</v>
      </c>
    </row>
    <row r="2526" spans="1:2" x14ac:dyDescent="0.25">
      <c r="A2526" t="s">
        <v>2691</v>
      </c>
      <c r="B2526" s="23">
        <v>18</v>
      </c>
    </row>
    <row r="2527" spans="1:2" x14ac:dyDescent="0.25">
      <c r="A2527" t="s">
        <v>2692</v>
      </c>
      <c r="B2527" s="23">
        <v>18</v>
      </c>
    </row>
    <row r="2528" spans="1:2" x14ac:dyDescent="0.25">
      <c r="A2528" t="s">
        <v>2693</v>
      </c>
      <c r="B2528" s="23">
        <v>18</v>
      </c>
    </row>
    <row r="2529" spans="1:2" x14ac:dyDescent="0.25">
      <c r="A2529" t="s">
        <v>2694</v>
      </c>
      <c r="B2529" s="23">
        <v>18</v>
      </c>
    </row>
    <row r="2530" spans="1:2" x14ac:dyDescent="0.25">
      <c r="A2530" t="s">
        <v>2695</v>
      </c>
      <c r="B2530" s="23">
        <v>18</v>
      </c>
    </row>
    <row r="2531" spans="1:2" x14ac:dyDescent="0.25">
      <c r="A2531" t="s">
        <v>2696</v>
      </c>
      <c r="B2531" s="23">
        <v>18</v>
      </c>
    </row>
    <row r="2532" spans="1:2" x14ac:dyDescent="0.25">
      <c r="A2532" t="s">
        <v>2697</v>
      </c>
      <c r="B2532" s="23">
        <v>18</v>
      </c>
    </row>
    <row r="2533" spans="1:2" x14ac:dyDescent="0.25">
      <c r="A2533" t="s">
        <v>2698</v>
      </c>
      <c r="B2533" s="23">
        <v>18</v>
      </c>
    </row>
    <row r="2534" spans="1:2" x14ac:dyDescent="0.25">
      <c r="A2534" t="s">
        <v>2699</v>
      </c>
      <c r="B2534" s="23">
        <v>18</v>
      </c>
    </row>
    <row r="2535" spans="1:2" x14ac:dyDescent="0.25">
      <c r="A2535" t="s">
        <v>2700</v>
      </c>
      <c r="B2535" s="23">
        <v>18</v>
      </c>
    </row>
    <row r="2536" spans="1:2" x14ac:dyDescent="0.25">
      <c r="A2536" t="s">
        <v>2701</v>
      </c>
      <c r="B2536" s="23">
        <v>17</v>
      </c>
    </row>
    <row r="2537" spans="1:2" x14ac:dyDescent="0.25">
      <c r="A2537" t="s">
        <v>2702</v>
      </c>
      <c r="B2537" s="23">
        <v>17</v>
      </c>
    </row>
    <row r="2538" spans="1:2" x14ac:dyDescent="0.25">
      <c r="A2538" t="s">
        <v>2703</v>
      </c>
      <c r="B2538" s="23">
        <v>17</v>
      </c>
    </row>
    <row r="2539" spans="1:2" x14ac:dyDescent="0.25">
      <c r="A2539" t="s">
        <v>2704</v>
      </c>
      <c r="B2539" s="23">
        <v>17</v>
      </c>
    </row>
    <row r="2540" spans="1:2" x14ac:dyDescent="0.25">
      <c r="A2540" t="s">
        <v>2705</v>
      </c>
      <c r="B2540" s="23">
        <v>17</v>
      </c>
    </row>
    <row r="2541" spans="1:2" x14ac:dyDescent="0.25">
      <c r="A2541" t="s">
        <v>2706</v>
      </c>
      <c r="B2541" s="23">
        <v>17</v>
      </c>
    </row>
    <row r="2542" spans="1:2" x14ac:dyDescent="0.25">
      <c r="A2542" t="s">
        <v>2707</v>
      </c>
      <c r="B2542" s="23">
        <v>17</v>
      </c>
    </row>
    <row r="2543" spans="1:2" x14ac:dyDescent="0.25">
      <c r="A2543" t="s">
        <v>2708</v>
      </c>
      <c r="B2543" s="23">
        <v>17</v>
      </c>
    </row>
    <row r="2544" spans="1:2" x14ac:dyDescent="0.25">
      <c r="A2544" t="s">
        <v>2709</v>
      </c>
      <c r="B2544" s="23">
        <v>17</v>
      </c>
    </row>
    <row r="2545" spans="1:2" x14ac:dyDescent="0.25">
      <c r="A2545" t="s">
        <v>2710</v>
      </c>
      <c r="B2545" s="23">
        <v>17</v>
      </c>
    </row>
    <row r="2546" spans="1:2" x14ac:dyDescent="0.25">
      <c r="A2546" t="s">
        <v>2711</v>
      </c>
      <c r="B2546" s="23">
        <v>16</v>
      </c>
    </row>
    <row r="2547" spans="1:2" x14ac:dyDescent="0.25">
      <c r="A2547" t="s">
        <v>2712</v>
      </c>
      <c r="B2547" s="23">
        <v>16</v>
      </c>
    </row>
    <row r="2548" spans="1:2" x14ac:dyDescent="0.25">
      <c r="A2548" t="s">
        <v>2713</v>
      </c>
      <c r="B2548" s="23">
        <v>16</v>
      </c>
    </row>
    <row r="2549" spans="1:2" x14ac:dyDescent="0.25">
      <c r="A2549" t="s">
        <v>2714</v>
      </c>
      <c r="B2549" s="23">
        <v>16</v>
      </c>
    </row>
    <row r="2550" spans="1:2" x14ac:dyDescent="0.25">
      <c r="A2550" t="s">
        <v>2715</v>
      </c>
      <c r="B2550" s="23">
        <v>16</v>
      </c>
    </row>
    <row r="2551" spans="1:2" x14ac:dyDescent="0.25">
      <c r="A2551" t="s">
        <v>2716</v>
      </c>
      <c r="B2551" s="23">
        <v>16</v>
      </c>
    </row>
    <row r="2552" spans="1:2" x14ac:dyDescent="0.25">
      <c r="A2552" t="s">
        <v>2717</v>
      </c>
      <c r="B2552" s="23">
        <v>16</v>
      </c>
    </row>
    <row r="2553" spans="1:2" x14ac:dyDescent="0.25">
      <c r="A2553" t="s">
        <v>2718</v>
      </c>
      <c r="B2553" s="23">
        <v>16</v>
      </c>
    </row>
    <row r="2554" spans="1:2" x14ac:dyDescent="0.25">
      <c r="A2554" t="s">
        <v>2719</v>
      </c>
      <c r="B2554" s="23">
        <v>16</v>
      </c>
    </row>
    <row r="2555" spans="1:2" x14ac:dyDescent="0.25">
      <c r="A2555" t="s">
        <v>2720</v>
      </c>
      <c r="B2555" s="23">
        <v>16</v>
      </c>
    </row>
    <row r="2556" spans="1:2" x14ac:dyDescent="0.25">
      <c r="A2556" t="s">
        <v>2721</v>
      </c>
      <c r="B2556" s="23">
        <v>15</v>
      </c>
    </row>
    <row r="2557" spans="1:2" x14ac:dyDescent="0.25">
      <c r="A2557" t="s">
        <v>2722</v>
      </c>
      <c r="B2557" s="23">
        <v>15</v>
      </c>
    </row>
    <row r="2558" spans="1:2" x14ac:dyDescent="0.25">
      <c r="A2558" t="s">
        <v>2723</v>
      </c>
      <c r="B2558" s="23">
        <v>15</v>
      </c>
    </row>
    <row r="2559" spans="1:2" x14ac:dyDescent="0.25">
      <c r="A2559" t="s">
        <v>2724</v>
      </c>
      <c r="B2559" s="23">
        <v>15</v>
      </c>
    </row>
    <row r="2560" spans="1:2" x14ac:dyDescent="0.25">
      <c r="A2560" t="s">
        <v>2725</v>
      </c>
      <c r="B2560" s="23">
        <v>15</v>
      </c>
    </row>
    <row r="2561" spans="1:2" x14ac:dyDescent="0.25">
      <c r="A2561" t="s">
        <v>2726</v>
      </c>
      <c r="B2561" s="23">
        <v>15</v>
      </c>
    </row>
    <row r="2562" spans="1:2" x14ac:dyDescent="0.25">
      <c r="A2562" t="s">
        <v>2727</v>
      </c>
      <c r="B2562" s="23">
        <v>15</v>
      </c>
    </row>
    <row r="2563" spans="1:2" x14ac:dyDescent="0.25">
      <c r="A2563" t="s">
        <v>2728</v>
      </c>
      <c r="B2563" s="23">
        <v>15</v>
      </c>
    </row>
    <row r="2564" spans="1:2" x14ac:dyDescent="0.25">
      <c r="A2564" t="s">
        <v>2729</v>
      </c>
      <c r="B2564" s="23">
        <v>15</v>
      </c>
    </row>
    <row r="2565" spans="1:2" x14ac:dyDescent="0.25">
      <c r="A2565" t="s">
        <v>2730</v>
      </c>
      <c r="B2565" s="23">
        <v>15</v>
      </c>
    </row>
    <row r="2566" spans="1:2" x14ac:dyDescent="0.25">
      <c r="A2566" t="s">
        <v>2731</v>
      </c>
      <c r="B2566" s="23">
        <v>14</v>
      </c>
    </row>
    <row r="2567" spans="1:2" x14ac:dyDescent="0.25">
      <c r="A2567" t="s">
        <v>2732</v>
      </c>
      <c r="B2567" s="23">
        <v>14</v>
      </c>
    </row>
    <row r="2568" spans="1:2" x14ac:dyDescent="0.25">
      <c r="A2568" t="s">
        <v>2733</v>
      </c>
      <c r="B2568" s="23">
        <v>14</v>
      </c>
    </row>
    <row r="2569" spans="1:2" x14ac:dyDescent="0.25">
      <c r="A2569" t="s">
        <v>2734</v>
      </c>
      <c r="B2569" s="23">
        <v>14</v>
      </c>
    </row>
    <row r="2570" spans="1:2" x14ac:dyDescent="0.25">
      <c r="A2570" t="s">
        <v>2735</v>
      </c>
      <c r="B2570" s="23">
        <v>14</v>
      </c>
    </row>
    <row r="2571" spans="1:2" x14ac:dyDescent="0.25">
      <c r="A2571" t="s">
        <v>2736</v>
      </c>
      <c r="B2571" s="23">
        <v>14</v>
      </c>
    </row>
    <row r="2572" spans="1:2" x14ac:dyDescent="0.25">
      <c r="A2572" t="s">
        <v>2737</v>
      </c>
      <c r="B2572" s="23">
        <v>14</v>
      </c>
    </row>
    <row r="2573" spans="1:2" x14ac:dyDescent="0.25">
      <c r="A2573" t="s">
        <v>2738</v>
      </c>
      <c r="B2573" s="23">
        <v>14</v>
      </c>
    </row>
    <row r="2574" spans="1:2" x14ac:dyDescent="0.25">
      <c r="A2574" t="s">
        <v>2739</v>
      </c>
      <c r="B2574" s="23">
        <v>14</v>
      </c>
    </row>
    <row r="2575" spans="1:2" x14ac:dyDescent="0.25">
      <c r="A2575" t="s">
        <v>2740</v>
      </c>
      <c r="B2575" s="23">
        <v>14</v>
      </c>
    </row>
    <row r="2576" spans="1:2" x14ac:dyDescent="0.25">
      <c r="A2576" t="s">
        <v>2741</v>
      </c>
      <c r="B2576" s="23">
        <v>13</v>
      </c>
    </row>
    <row r="2577" spans="1:2" x14ac:dyDescent="0.25">
      <c r="A2577" t="s">
        <v>2742</v>
      </c>
      <c r="B2577" s="23">
        <v>13</v>
      </c>
    </row>
    <row r="2578" spans="1:2" x14ac:dyDescent="0.25">
      <c r="A2578" t="s">
        <v>2743</v>
      </c>
      <c r="B2578" s="23">
        <v>13</v>
      </c>
    </row>
    <row r="2579" spans="1:2" x14ac:dyDescent="0.25">
      <c r="A2579" t="s">
        <v>2744</v>
      </c>
      <c r="B2579" s="23">
        <v>13</v>
      </c>
    </row>
    <row r="2580" spans="1:2" x14ac:dyDescent="0.25">
      <c r="A2580" t="s">
        <v>2745</v>
      </c>
      <c r="B2580" s="23">
        <v>13</v>
      </c>
    </row>
    <row r="2581" spans="1:2" x14ac:dyDescent="0.25">
      <c r="A2581" t="s">
        <v>2746</v>
      </c>
      <c r="B2581" s="23">
        <v>13</v>
      </c>
    </row>
    <row r="2582" spans="1:2" x14ac:dyDescent="0.25">
      <c r="A2582" t="s">
        <v>2747</v>
      </c>
      <c r="B2582" s="23">
        <v>13</v>
      </c>
    </row>
    <row r="2583" spans="1:2" x14ac:dyDescent="0.25">
      <c r="A2583" t="s">
        <v>2748</v>
      </c>
      <c r="B2583" s="23">
        <v>13</v>
      </c>
    </row>
    <row r="2584" spans="1:2" x14ac:dyDescent="0.25">
      <c r="A2584" t="s">
        <v>2749</v>
      </c>
      <c r="B2584" s="23">
        <v>13</v>
      </c>
    </row>
    <row r="2585" spans="1:2" x14ac:dyDescent="0.25">
      <c r="A2585" t="s">
        <v>2750</v>
      </c>
      <c r="B2585" s="23">
        <v>13</v>
      </c>
    </row>
    <row r="2586" spans="1:2" x14ac:dyDescent="0.25">
      <c r="A2586" t="s">
        <v>2751</v>
      </c>
      <c r="B2586" s="23">
        <v>12</v>
      </c>
    </row>
    <row r="2587" spans="1:2" x14ac:dyDescent="0.25">
      <c r="A2587" t="s">
        <v>2752</v>
      </c>
      <c r="B2587" s="23">
        <v>12</v>
      </c>
    </row>
    <row r="2588" spans="1:2" x14ac:dyDescent="0.25">
      <c r="A2588" t="s">
        <v>2753</v>
      </c>
      <c r="B2588" s="23">
        <v>12</v>
      </c>
    </row>
    <row r="2589" spans="1:2" x14ac:dyDescent="0.25">
      <c r="A2589" t="s">
        <v>2754</v>
      </c>
      <c r="B2589" s="23">
        <v>12</v>
      </c>
    </row>
    <row r="2590" spans="1:2" x14ac:dyDescent="0.25">
      <c r="A2590" t="s">
        <v>2755</v>
      </c>
      <c r="B2590" s="23">
        <v>12</v>
      </c>
    </row>
    <row r="2591" spans="1:2" x14ac:dyDescent="0.25">
      <c r="A2591" t="s">
        <v>2756</v>
      </c>
      <c r="B2591" s="23">
        <v>12</v>
      </c>
    </row>
    <row r="2592" spans="1:2" x14ac:dyDescent="0.25">
      <c r="A2592" t="s">
        <v>2757</v>
      </c>
      <c r="B2592" s="23">
        <v>12</v>
      </c>
    </row>
    <row r="2593" spans="1:2" x14ac:dyDescent="0.25">
      <c r="A2593" t="s">
        <v>2758</v>
      </c>
      <c r="B2593" s="23">
        <v>12</v>
      </c>
    </row>
    <row r="2594" spans="1:2" x14ac:dyDescent="0.25">
      <c r="A2594" t="s">
        <v>2759</v>
      </c>
      <c r="B2594" s="23">
        <v>12</v>
      </c>
    </row>
    <row r="2595" spans="1:2" x14ac:dyDescent="0.25">
      <c r="A2595" t="s">
        <v>2760</v>
      </c>
      <c r="B2595" s="23">
        <v>12</v>
      </c>
    </row>
    <row r="2596" spans="1:2" x14ac:dyDescent="0.25">
      <c r="A2596" t="s">
        <v>2761</v>
      </c>
      <c r="B2596" s="23">
        <v>11</v>
      </c>
    </row>
    <row r="2597" spans="1:2" x14ac:dyDescent="0.25">
      <c r="A2597" t="s">
        <v>2762</v>
      </c>
      <c r="B2597" s="23">
        <v>11</v>
      </c>
    </row>
    <row r="2598" spans="1:2" x14ac:dyDescent="0.25">
      <c r="A2598" t="s">
        <v>2763</v>
      </c>
      <c r="B2598" s="23">
        <v>11</v>
      </c>
    </row>
    <row r="2599" spans="1:2" x14ac:dyDescent="0.25">
      <c r="A2599" t="s">
        <v>2764</v>
      </c>
      <c r="B2599" s="23">
        <v>11</v>
      </c>
    </row>
    <row r="2600" spans="1:2" x14ac:dyDescent="0.25">
      <c r="A2600" t="s">
        <v>2765</v>
      </c>
      <c r="B2600" s="23">
        <v>11</v>
      </c>
    </row>
    <row r="2601" spans="1:2" x14ac:dyDescent="0.25">
      <c r="A2601" t="s">
        <v>2766</v>
      </c>
      <c r="B2601" s="23">
        <v>11</v>
      </c>
    </row>
    <row r="2602" spans="1:2" x14ac:dyDescent="0.25">
      <c r="A2602" t="s">
        <v>2767</v>
      </c>
      <c r="B2602" s="23">
        <v>11</v>
      </c>
    </row>
    <row r="2603" spans="1:2" x14ac:dyDescent="0.25">
      <c r="A2603" t="s">
        <v>2768</v>
      </c>
      <c r="B2603" s="23">
        <v>11</v>
      </c>
    </row>
    <row r="2604" spans="1:2" x14ac:dyDescent="0.25">
      <c r="A2604" t="s">
        <v>2769</v>
      </c>
      <c r="B2604" s="23">
        <v>11</v>
      </c>
    </row>
    <row r="2605" spans="1:2" x14ac:dyDescent="0.25">
      <c r="A2605" t="s">
        <v>2770</v>
      </c>
      <c r="B2605" s="23">
        <v>11</v>
      </c>
    </row>
    <row r="2606" spans="1:2" x14ac:dyDescent="0.25">
      <c r="A2606" t="s">
        <v>2771</v>
      </c>
      <c r="B2606" s="23">
        <v>10</v>
      </c>
    </row>
    <row r="2607" spans="1:2" x14ac:dyDescent="0.25">
      <c r="A2607" t="s">
        <v>2772</v>
      </c>
      <c r="B2607" s="23">
        <v>10</v>
      </c>
    </row>
    <row r="2608" spans="1:2" x14ac:dyDescent="0.25">
      <c r="A2608" t="s">
        <v>2773</v>
      </c>
      <c r="B2608" s="23">
        <v>10</v>
      </c>
    </row>
    <row r="2609" spans="1:2" x14ac:dyDescent="0.25">
      <c r="A2609" t="s">
        <v>2774</v>
      </c>
      <c r="B2609" s="23">
        <v>10</v>
      </c>
    </row>
    <row r="2610" spans="1:2" x14ac:dyDescent="0.25">
      <c r="A2610" t="s">
        <v>2775</v>
      </c>
      <c r="B2610" s="23">
        <v>10</v>
      </c>
    </row>
    <row r="2611" spans="1:2" x14ac:dyDescent="0.25">
      <c r="A2611" t="s">
        <v>2776</v>
      </c>
      <c r="B2611" s="23">
        <v>10</v>
      </c>
    </row>
    <row r="2612" spans="1:2" x14ac:dyDescent="0.25">
      <c r="A2612" t="s">
        <v>2777</v>
      </c>
      <c r="B2612" s="23">
        <v>10</v>
      </c>
    </row>
    <row r="2613" spans="1:2" x14ac:dyDescent="0.25">
      <c r="A2613" t="s">
        <v>2778</v>
      </c>
      <c r="B2613" s="23">
        <v>10</v>
      </c>
    </row>
    <row r="2614" spans="1:2" x14ac:dyDescent="0.25">
      <c r="A2614" t="s">
        <v>2779</v>
      </c>
      <c r="B2614" s="23">
        <v>10</v>
      </c>
    </row>
    <row r="2615" spans="1:2" x14ac:dyDescent="0.25">
      <c r="A2615" t="s">
        <v>2780</v>
      </c>
      <c r="B2615" s="23">
        <v>10</v>
      </c>
    </row>
    <row r="2616" spans="1:2" x14ac:dyDescent="0.25">
      <c r="A2616" t="s">
        <v>2781</v>
      </c>
      <c r="B2616" s="23">
        <v>9</v>
      </c>
    </row>
    <row r="2617" spans="1:2" x14ac:dyDescent="0.25">
      <c r="A2617" t="s">
        <v>2782</v>
      </c>
      <c r="B2617" s="23">
        <v>9</v>
      </c>
    </row>
    <row r="2618" spans="1:2" x14ac:dyDescent="0.25">
      <c r="A2618" t="s">
        <v>2783</v>
      </c>
      <c r="B2618" s="23">
        <v>9</v>
      </c>
    </row>
    <row r="2619" spans="1:2" x14ac:dyDescent="0.25">
      <c r="A2619" t="s">
        <v>2784</v>
      </c>
      <c r="B2619" s="23">
        <v>9</v>
      </c>
    </row>
    <row r="2620" spans="1:2" x14ac:dyDescent="0.25">
      <c r="A2620" t="s">
        <v>2785</v>
      </c>
      <c r="B2620" s="23">
        <v>9</v>
      </c>
    </row>
    <row r="2621" spans="1:2" x14ac:dyDescent="0.25">
      <c r="A2621" t="s">
        <v>2786</v>
      </c>
      <c r="B2621" s="23">
        <v>9</v>
      </c>
    </row>
    <row r="2622" spans="1:2" x14ac:dyDescent="0.25">
      <c r="A2622" t="s">
        <v>2787</v>
      </c>
      <c r="B2622" s="23">
        <v>9</v>
      </c>
    </row>
    <row r="2623" spans="1:2" x14ac:dyDescent="0.25">
      <c r="A2623" t="s">
        <v>2788</v>
      </c>
      <c r="B2623" s="23">
        <v>9</v>
      </c>
    </row>
    <row r="2624" spans="1:2" x14ac:dyDescent="0.25">
      <c r="A2624" t="s">
        <v>2789</v>
      </c>
      <c r="B2624" s="23">
        <v>9</v>
      </c>
    </row>
    <row r="2625" spans="1:2" x14ac:dyDescent="0.25">
      <c r="A2625" t="s">
        <v>2790</v>
      </c>
      <c r="B2625" s="23">
        <v>9</v>
      </c>
    </row>
    <row r="2626" spans="1:2" x14ac:dyDescent="0.25">
      <c r="A2626" t="s">
        <v>2791</v>
      </c>
      <c r="B2626" s="23">
        <v>8</v>
      </c>
    </row>
    <row r="2627" spans="1:2" x14ac:dyDescent="0.25">
      <c r="A2627" t="s">
        <v>2792</v>
      </c>
      <c r="B2627" s="23">
        <v>8</v>
      </c>
    </row>
    <row r="2628" spans="1:2" x14ac:dyDescent="0.25">
      <c r="A2628" t="s">
        <v>2793</v>
      </c>
      <c r="B2628" s="23">
        <v>8</v>
      </c>
    </row>
    <row r="2629" spans="1:2" x14ac:dyDescent="0.25">
      <c r="A2629" t="s">
        <v>2794</v>
      </c>
      <c r="B2629" s="23">
        <v>8</v>
      </c>
    </row>
    <row r="2630" spans="1:2" x14ac:dyDescent="0.25">
      <c r="A2630" t="s">
        <v>2795</v>
      </c>
      <c r="B2630" s="23">
        <v>8</v>
      </c>
    </row>
    <row r="2631" spans="1:2" x14ac:dyDescent="0.25">
      <c r="A2631" t="s">
        <v>2796</v>
      </c>
      <c r="B2631" s="23">
        <v>8</v>
      </c>
    </row>
    <row r="2632" spans="1:2" x14ac:dyDescent="0.25">
      <c r="A2632" t="s">
        <v>2797</v>
      </c>
      <c r="B2632" s="23">
        <v>8</v>
      </c>
    </row>
    <row r="2633" spans="1:2" x14ac:dyDescent="0.25">
      <c r="A2633" t="s">
        <v>2798</v>
      </c>
      <c r="B2633" s="23">
        <v>8</v>
      </c>
    </row>
    <row r="2634" spans="1:2" x14ac:dyDescent="0.25">
      <c r="A2634" t="s">
        <v>2799</v>
      </c>
      <c r="B2634" s="23">
        <v>8</v>
      </c>
    </row>
    <row r="2635" spans="1:2" x14ac:dyDescent="0.25">
      <c r="A2635" t="s">
        <v>2800</v>
      </c>
      <c r="B2635" s="23">
        <v>8</v>
      </c>
    </row>
    <row r="2636" spans="1:2" x14ac:dyDescent="0.25">
      <c r="A2636" t="s">
        <v>2801</v>
      </c>
      <c r="B2636" s="23">
        <v>7</v>
      </c>
    </row>
    <row r="2637" spans="1:2" x14ac:dyDescent="0.25">
      <c r="A2637" t="s">
        <v>2802</v>
      </c>
      <c r="B2637" s="23">
        <v>7</v>
      </c>
    </row>
    <row r="2638" spans="1:2" x14ac:dyDescent="0.25">
      <c r="A2638" t="s">
        <v>2803</v>
      </c>
      <c r="B2638" s="23">
        <v>7</v>
      </c>
    </row>
    <row r="2639" spans="1:2" x14ac:dyDescent="0.25">
      <c r="A2639" t="s">
        <v>2804</v>
      </c>
      <c r="B2639" s="23">
        <v>7</v>
      </c>
    </row>
    <row r="2640" spans="1:2" x14ac:dyDescent="0.25">
      <c r="A2640" t="s">
        <v>2805</v>
      </c>
      <c r="B2640" s="23">
        <v>7</v>
      </c>
    </row>
    <row r="2641" spans="1:2" x14ac:dyDescent="0.25">
      <c r="A2641" t="s">
        <v>2806</v>
      </c>
      <c r="B2641" s="23">
        <v>7</v>
      </c>
    </row>
    <row r="2642" spans="1:2" x14ac:dyDescent="0.25">
      <c r="A2642" t="s">
        <v>2807</v>
      </c>
      <c r="B2642" s="23">
        <v>7</v>
      </c>
    </row>
    <row r="2643" spans="1:2" x14ac:dyDescent="0.25">
      <c r="A2643" t="s">
        <v>2808</v>
      </c>
      <c r="B2643" s="23">
        <v>7</v>
      </c>
    </row>
    <row r="2644" spans="1:2" x14ac:dyDescent="0.25">
      <c r="A2644" t="s">
        <v>2809</v>
      </c>
      <c r="B2644" s="23">
        <v>7</v>
      </c>
    </row>
    <row r="2645" spans="1:2" x14ac:dyDescent="0.25">
      <c r="A2645" t="s">
        <v>2810</v>
      </c>
      <c r="B2645" s="23">
        <v>7</v>
      </c>
    </row>
    <row r="2646" spans="1:2" x14ac:dyDescent="0.25">
      <c r="A2646" t="s">
        <v>2811</v>
      </c>
      <c r="B2646" s="23">
        <v>6</v>
      </c>
    </row>
    <row r="2647" spans="1:2" x14ac:dyDescent="0.25">
      <c r="A2647" t="s">
        <v>2812</v>
      </c>
      <c r="B2647" s="23">
        <v>6</v>
      </c>
    </row>
    <row r="2648" spans="1:2" x14ac:dyDescent="0.25">
      <c r="A2648" t="s">
        <v>2813</v>
      </c>
      <c r="B2648" s="23">
        <v>6</v>
      </c>
    </row>
    <row r="2649" spans="1:2" x14ac:dyDescent="0.25">
      <c r="A2649" t="s">
        <v>2814</v>
      </c>
      <c r="B2649" s="23">
        <v>6</v>
      </c>
    </row>
    <row r="2650" spans="1:2" x14ac:dyDescent="0.25">
      <c r="A2650" t="s">
        <v>2815</v>
      </c>
      <c r="B2650" s="23">
        <v>6</v>
      </c>
    </row>
    <row r="2651" spans="1:2" x14ac:dyDescent="0.25">
      <c r="A2651" t="s">
        <v>2816</v>
      </c>
      <c r="B2651" s="23">
        <v>6</v>
      </c>
    </row>
    <row r="2652" spans="1:2" x14ac:dyDescent="0.25">
      <c r="A2652" t="s">
        <v>2817</v>
      </c>
      <c r="B2652" s="23">
        <v>6</v>
      </c>
    </row>
    <row r="2653" spans="1:2" x14ac:dyDescent="0.25">
      <c r="A2653" t="s">
        <v>2818</v>
      </c>
      <c r="B2653" s="23">
        <v>6</v>
      </c>
    </row>
    <row r="2654" spans="1:2" x14ac:dyDescent="0.25">
      <c r="A2654" t="s">
        <v>2819</v>
      </c>
      <c r="B2654" s="23">
        <v>6</v>
      </c>
    </row>
    <row r="2655" spans="1:2" x14ac:dyDescent="0.25">
      <c r="A2655" t="s">
        <v>2820</v>
      </c>
      <c r="B2655" s="23">
        <v>6</v>
      </c>
    </row>
    <row r="2656" spans="1:2" x14ac:dyDescent="0.25">
      <c r="A2656" t="s">
        <v>2821</v>
      </c>
      <c r="B2656" s="23">
        <v>5</v>
      </c>
    </row>
    <row r="2657" spans="1:2" x14ac:dyDescent="0.25">
      <c r="A2657" t="s">
        <v>2822</v>
      </c>
      <c r="B2657" s="23">
        <v>5</v>
      </c>
    </row>
    <row r="2658" spans="1:2" x14ac:dyDescent="0.25">
      <c r="A2658" t="s">
        <v>2823</v>
      </c>
      <c r="B2658" s="23">
        <v>5</v>
      </c>
    </row>
    <row r="2659" spans="1:2" x14ac:dyDescent="0.25">
      <c r="A2659" t="s">
        <v>2824</v>
      </c>
      <c r="B2659" s="23">
        <v>5</v>
      </c>
    </row>
    <row r="2660" spans="1:2" x14ac:dyDescent="0.25">
      <c r="A2660" t="s">
        <v>2825</v>
      </c>
      <c r="B2660" s="23">
        <v>5</v>
      </c>
    </row>
    <row r="2661" spans="1:2" x14ac:dyDescent="0.25">
      <c r="A2661" t="s">
        <v>2826</v>
      </c>
      <c r="B2661" s="23">
        <v>5</v>
      </c>
    </row>
    <row r="2662" spans="1:2" x14ac:dyDescent="0.25">
      <c r="A2662" t="s">
        <v>2827</v>
      </c>
      <c r="B2662" s="23">
        <v>5</v>
      </c>
    </row>
    <row r="2663" spans="1:2" x14ac:dyDescent="0.25">
      <c r="A2663" t="s">
        <v>2828</v>
      </c>
      <c r="B2663" s="23">
        <v>5</v>
      </c>
    </row>
    <row r="2664" spans="1:2" x14ac:dyDescent="0.25">
      <c r="A2664" t="s">
        <v>2829</v>
      </c>
      <c r="B2664" s="23">
        <v>5</v>
      </c>
    </row>
    <row r="2665" spans="1:2" x14ac:dyDescent="0.25">
      <c r="A2665" t="s">
        <v>2830</v>
      </c>
      <c r="B2665" s="23">
        <v>5</v>
      </c>
    </row>
    <row r="2666" spans="1:2" x14ac:dyDescent="0.25">
      <c r="A2666" t="s">
        <v>2831</v>
      </c>
      <c r="B2666" s="23">
        <v>4</v>
      </c>
    </row>
    <row r="2667" spans="1:2" x14ac:dyDescent="0.25">
      <c r="A2667" t="s">
        <v>2832</v>
      </c>
      <c r="B2667" s="23">
        <v>4</v>
      </c>
    </row>
    <row r="2668" spans="1:2" x14ac:dyDescent="0.25">
      <c r="A2668" t="s">
        <v>2833</v>
      </c>
      <c r="B2668" s="23">
        <v>4</v>
      </c>
    </row>
    <row r="2669" spans="1:2" x14ac:dyDescent="0.25">
      <c r="A2669" t="s">
        <v>2834</v>
      </c>
      <c r="B2669" s="23">
        <v>4</v>
      </c>
    </row>
    <row r="2670" spans="1:2" x14ac:dyDescent="0.25">
      <c r="A2670" t="s">
        <v>2835</v>
      </c>
      <c r="B2670" s="23">
        <v>4</v>
      </c>
    </row>
    <row r="2671" spans="1:2" x14ac:dyDescent="0.25">
      <c r="A2671" t="s">
        <v>2836</v>
      </c>
      <c r="B2671" s="23">
        <v>4</v>
      </c>
    </row>
    <row r="2672" spans="1:2" x14ac:dyDescent="0.25">
      <c r="A2672" t="s">
        <v>2837</v>
      </c>
      <c r="B2672" s="23">
        <v>4</v>
      </c>
    </row>
    <row r="2673" spans="1:2" x14ac:dyDescent="0.25">
      <c r="A2673" t="s">
        <v>2838</v>
      </c>
      <c r="B2673" s="23">
        <v>4</v>
      </c>
    </row>
    <row r="2674" spans="1:2" x14ac:dyDescent="0.25">
      <c r="A2674" t="s">
        <v>2839</v>
      </c>
      <c r="B2674" s="23">
        <v>4</v>
      </c>
    </row>
    <row r="2675" spans="1:2" x14ac:dyDescent="0.25">
      <c r="A2675" t="s">
        <v>2840</v>
      </c>
      <c r="B2675" s="23">
        <v>4</v>
      </c>
    </row>
    <row r="2676" spans="1:2" x14ac:dyDescent="0.25">
      <c r="A2676" t="s">
        <v>2841</v>
      </c>
      <c r="B2676" s="23">
        <v>4</v>
      </c>
    </row>
    <row r="2677" spans="1:2" x14ac:dyDescent="0.25">
      <c r="A2677" t="s">
        <v>2842</v>
      </c>
      <c r="B2677" s="23">
        <v>4</v>
      </c>
    </row>
    <row r="2678" spans="1:2" x14ac:dyDescent="0.25">
      <c r="A2678" t="s">
        <v>2843</v>
      </c>
      <c r="B2678" s="23">
        <v>4</v>
      </c>
    </row>
    <row r="2679" spans="1:2" x14ac:dyDescent="0.25">
      <c r="A2679" t="s">
        <v>2844</v>
      </c>
      <c r="B2679" s="23">
        <v>4</v>
      </c>
    </row>
    <row r="2680" spans="1:2" x14ac:dyDescent="0.25">
      <c r="A2680" t="s">
        <v>2845</v>
      </c>
      <c r="B2680" s="23">
        <v>4</v>
      </c>
    </row>
    <row r="2681" spans="1:2" x14ac:dyDescent="0.25">
      <c r="A2681" t="s">
        <v>2846</v>
      </c>
      <c r="B2681" s="23">
        <v>4</v>
      </c>
    </row>
    <row r="2682" spans="1:2" x14ac:dyDescent="0.25">
      <c r="A2682" t="s">
        <v>2847</v>
      </c>
      <c r="B2682" s="23">
        <v>4</v>
      </c>
    </row>
    <row r="2683" spans="1:2" x14ac:dyDescent="0.25">
      <c r="A2683" t="s">
        <v>2848</v>
      </c>
      <c r="B2683" s="23">
        <v>4</v>
      </c>
    </row>
    <row r="2684" spans="1:2" x14ac:dyDescent="0.25">
      <c r="A2684" t="s">
        <v>2849</v>
      </c>
      <c r="B2684" s="23">
        <v>4</v>
      </c>
    </row>
    <row r="2685" spans="1:2" x14ac:dyDescent="0.25">
      <c r="A2685" t="s">
        <v>2850</v>
      </c>
      <c r="B2685" s="23">
        <v>4</v>
      </c>
    </row>
    <row r="2686" spans="1:2" x14ac:dyDescent="0.25">
      <c r="A2686" t="s">
        <v>2851</v>
      </c>
      <c r="B2686" s="23">
        <v>3</v>
      </c>
    </row>
    <row r="2687" spans="1:2" x14ac:dyDescent="0.25">
      <c r="A2687" t="s">
        <v>2852</v>
      </c>
      <c r="B2687" s="23">
        <v>3</v>
      </c>
    </row>
    <row r="2688" spans="1:2" x14ac:dyDescent="0.25">
      <c r="A2688" t="s">
        <v>2853</v>
      </c>
      <c r="B2688" s="23">
        <v>3</v>
      </c>
    </row>
    <row r="2689" spans="1:2" x14ac:dyDescent="0.25">
      <c r="A2689" t="s">
        <v>2854</v>
      </c>
      <c r="B2689" s="23">
        <v>3</v>
      </c>
    </row>
    <row r="2690" spans="1:2" x14ac:dyDescent="0.25">
      <c r="A2690" t="s">
        <v>2855</v>
      </c>
      <c r="B2690" s="23">
        <v>3</v>
      </c>
    </row>
    <row r="2691" spans="1:2" x14ac:dyDescent="0.25">
      <c r="A2691" t="s">
        <v>2856</v>
      </c>
      <c r="B2691" s="23">
        <v>3</v>
      </c>
    </row>
    <row r="2692" spans="1:2" x14ac:dyDescent="0.25">
      <c r="A2692" t="s">
        <v>2857</v>
      </c>
      <c r="B2692" s="23">
        <v>3</v>
      </c>
    </row>
    <row r="2693" spans="1:2" x14ac:dyDescent="0.25">
      <c r="A2693" t="s">
        <v>2858</v>
      </c>
      <c r="B2693" s="23">
        <v>3</v>
      </c>
    </row>
    <row r="2694" spans="1:2" x14ac:dyDescent="0.25">
      <c r="A2694" t="s">
        <v>2859</v>
      </c>
      <c r="B2694" s="23">
        <v>3</v>
      </c>
    </row>
    <row r="2695" spans="1:2" x14ac:dyDescent="0.25">
      <c r="A2695" t="s">
        <v>2860</v>
      </c>
      <c r="B2695" s="23">
        <v>3</v>
      </c>
    </row>
    <row r="2696" spans="1:2" x14ac:dyDescent="0.25">
      <c r="A2696" t="s">
        <v>2861</v>
      </c>
      <c r="B2696" s="23">
        <v>3</v>
      </c>
    </row>
    <row r="2697" spans="1:2" x14ac:dyDescent="0.25">
      <c r="A2697" t="s">
        <v>2862</v>
      </c>
      <c r="B2697" s="23">
        <v>3</v>
      </c>
    </row>
    <row r="2698" spans="1:2" x14ac:dyDescent="0.25">
      <c r="A2698" t="s">
        <v>2863</v>
      </c>
      <c r="B2698" s="23">
        <v>3</v>
      </c>
    </row>
    <row r="2699" spans="1:2" x14ac:dyDescent="0.25">
      <c r="A2699" t="s">
        <v>2864</v>
      </c>
      <c r="B2699" s="23">
        <v>3</v>
      </c>
    </row>
    <row r="2700" spans="1:2" x14ac:dyDescent="0.25">
      <c r="A2700" t="s">
        <v>2865</v>
      </c>
      <c r="B2700" s="23">
        <v>3</v>
      </c>
    </row>
    <row r="2701" spans="1:2" x14ac:dyDescent="0.25">
      <c r="A2701" t="s">
        <v>2866</v>
      </c>
      <c r="B2701" s="23">
        <v>3</v>
      </c>
    </row>
    <row r="2702" spans="1:2" x14ac:dyDescent="0.25">
      <c r="A2702" t="s">
        <v>2867</v>
      </c>
      <c r="B2702" s="23">
        <v>3</v>
      </c>
    </row>
    <row r="2703" spans="1:2" x14ac:dyDescent="0.25">
      <c r="A2703" t="s">
        <v>2868</v>
      </c>
      <c r="B2703" s="23">
        <v>3</v>
      </c>
    </row>
    <row r="2704" spans="1:2" x14ac:dyDescent="0.25">
      <c r="A2704" t="s">
        <v>2869</v>
      </c>
      <c r="B2704" s="23">
        <v>3</v>
      </c>
    </row>
    <row r="2705" spans="1:2" x14ac:dyDescent="0.25">
      <c r="A2705" t="s">
        <v>2870</v>
      </c>
      <c r="B2705" s="23">
        <v>3</v>
      </c>
    </row>
    <row r="2706" spans="1:2" x14ac:dyDescent="0.25">
      <c r="A2706" t="s">
        <v>2871</v>
      </c>
      <c r="B2706" s="23">
        <v>2</v>
      </c>
    </row>
    <row r="2707" spans="1:2" x14ac:dyDescent="0.25">
      <c r="A2707" t="s">
        <v>2872</v>
      </c>
      <c r="B2707" s="23">
        <v>2</v>
      </c>
    </row>
    <row r="2708" spans="1:2" x14ac:dyDescent="0.25">
      <c r="A2708" t="s">
        <v>2873</v>
      </c>
      <c r="B2708" s="23">
        <v>2</v>
      </c>
    </row>
    <row r="2709" spans="1:2" x14ac:dyDescent="0.25">
      <c r="A2709" t="s">
        <v>2874</v>
      </c>
      <c r="B2709" s="23">
        <v>2</v>
      </c>
    </row>
    <row r="2710" spans="1:2" x14ac:dyDescent="0.25">
      <c r="A2710" t="s">
        <v>2875</v>
      </c>
      <c r="B2710" s="23">
        <v>2</v>
      </c>
    </row>
    <row r="2711" spans="1:2" x14ac:dyDescent="0.25">
      <c r="A2711" t="s">
        <v>2876</v>
      </c>
      <c r="B2711" s="23">
        <v>2</v>
      </c>
    </row>
    <row r="2712" spans="1:2" x14ac:dyDescent="0.25">
      <c r="A2712" t="s">
        <v>2877</v>
      </c>
      <c r="B2712" s="23">
        <v>2</v>
      </c>
    </row>
    <row r="2713" spans="1:2" x14ac:dyDescent="0.25">
      <c r="A2713" t="s">
        <v>2878</v>
      </c>
      <c r="B2713" s="23">
        <v>2</v>
      </c>
    </row>
    <row r="2714" spans="1:2" x14ac:dyDescent="0.25">
      <c r="A2714" t="s">
        <v>2879</v>
      </c>
      <c r="B2714" s="23">
        <v>2</v>
      </c>
    </row>
    <row r="2715" spans="1:2" x14ac:dyDescent="0.25">
      <c r="A2715" t="s">
        <v>2880</v>
      </c>
      <c r="B2715" s="23">
        <v>2</v>
      </c>
    </row>
    <row r="2716" spans="1:2" x14ac:dyDescent="0.25">
      <c r="A2716" t="s">
        <v>2881</v>
      </c>
      <c r="B2716" s="23">
        <v>2</v>
      </c>
    </row>
    <row r="2717" spans="1:2" x14ac:dyDescent="0.25">
      <c r="A2717" t="s">
        <v>2882</v>
      </c>
      <c r="B2717" s="23">
        <v>2</v>
      </c>
    </row>
    <row r="2718" spans="1:2" x14ac:dyDescent="0.25">
      <c r="A2718" t="s">
        <v>2883</v>
      </c>
      <c r="B2718" s="23">
        <v>2</v>
      </c>
    </row>
    <row r="2719" spans="1:2" x14ac:dyDescent="0.25">
      <c r="A2719" t="s">
        <v>2884</v>
      </c>
      <c r="B2719" s="23">
        <v>2</v>
      </c>
    </row>
    <row r="2720" spans="1:2" x14ac:dyDescent="0.25">
      <c r="A2720" t="s">
        <v>2885</v>
      </c>
      <c r="B2720" s="23">
        <v>2</v>
      </c>
    </row>
    <row r="2721" spans="1:2" x14ac:dyDescent="0.25">
      <c r="A2721" t="s">
        <v>2886</v>
      </c>
      <c r="B2721" s="23">
        <v>2</v>
      </c>
    </row>
    <row r="2722" spans="1:2" x14ac:dyDescent="0.25">
      <c r="A2722" t="s">
        <v>2887</v>
      </c>
      <c r="B2722" s="23">
        <v>2</v>
      </c>
    </row>
    <row r="2723" spans="1:2" x14ac:dyDescent="0.25">
      <c r="A2723" t="s">
        <v>2888</v>
      </c>
      <c r="B2723" s="23">
        <v>2</v>
      </c>
    </row>
    <row r="2724" spans="1:2" x14ac:dyDescent="0.25">
      <c r="A2724" t="s">
        <v>2889</v>
      </c>
      <c r="B2724" s="23">
        <v>2</v>
      </c>
    </row>
    <row r="2725" spans="1:2" x14ac:dyDescent="0.25">
      <c r="A2725" t="s">
        <v>2890</v>
      </c>
      <c r="B2725" s="23">
        <v>2</v>
      </c>
    </row>
    <row r="2726" spans="1:2" x14ac:dyDescent="0.25">
      <c r="A2726" t="s">
        <v>2891</v>
      </c>
      <c r="B2726" s="23">
        <v>1</v>
      </c>
    </row>
    <row r="2727" spans="1:2" x14ac:dyDescent="0.25">
      <c r="A2727" t="s">
        <v>2892</v>
      </c>
      <c r="B2727" s="23">
        <v>1</v>
      </c>
    </row>
    <row r="2728" spans="1:2" x14ac:dyDescent="0.25">
      <c r="A2728" t="s">
        <v>2893</v>
      </c>
      <c r="B2728" s="23">
        <v>1</v>
      </c>
    </row>
    <row r="2729" spans="1:2" x14ac:dyDescent="0.25">
      <c r="A2729" t="s">
        <v>2894</v>
      </c>
      <c r="B2729" s="23">
        <v>1</v>
      </c>
    </row>
    <row r="2730" spans="1:2" x14ac:dyDescent="0.25">
      <c r="A2730" t="s">
        <v>2895</v>
      </c>
      <c r="B2730" s="23">
        <v>1</v>
      </c>
    </row>
    <row r="2731" spans="1:2" x14ac:dyDescent="0.25">
      <c r="A2731" t="s">
        <v>2896</v>
      </c>
      <c r="B2731" s="23">
        <v>1</v>
      </c>
    </row>
    <row r="2732" spans="1:2" x14ac:dyDescent="0.25">
      <c r="A2732" t="s">
        <v>2897</v>
      </c>
      <c r="B2732" s="23">
        <v>1</v>
      </c>
    </row>
    <row r="2733" spans="1:2" x14ac:dyDescent="0.25">
      <c r="A2733" t="s">
        <v>2898</v>
      </c>
      <c r="B2733" s="23">
        <v>1</v>
      </c>
    </row>
    <row r="2734" spans="1:2" x14ac:dyDescent="0.25">
      <c r="A2734" t="s">
        <v>2899</v>
      </c>
      <c r="B2734" s="23">
        <v>1</v>
      </c>
    </row>
    <row r="2735" spans="1:2" x14ac:dyDescent="0.25">
      <c r="A2735" t="s">
        <v>2900</v>
      </c>
      <c r="B2735" s="23">
        <v>1</v>
      </c>
    </row>
    <row r="2736" spans="1:2" x14ac:dyDescent="0.25">
      <c r="A2736" t="s">
        <v>2901</v>
      </c>
      <c r="B2736" s="23">
        <v>1</v>
      </c>
    </row>
    <row r="2737" spans="1:2" x14ac:dyDescent="0.25">
      <c r="A2737" t="s">
        <v>2902</v>
      </c>
      <c r="B2737" s="23">
        <v>1</v>
      </c>
    </row>
    <row r="2738" spans="1:2" x14ac:dyDescent="0.25">
      <c r="A2738" t="s">
        <v>2903</v>
      </c>
      <c r="B2738" s="23">
        <v>1</v>
      </c>
    </row>
    <row r="2739" spans="1:2" x14ac:dyDescent="0.25">
      <c r="A2739" t="s">
        <v>2904</v>
      </c>
      <c r="B2739" s="23">
        <v>1</v>
      </c>
    </row>
    <row r="2740" spans="1:2" x14ac:dyDescent="0.25">
      <c r="A2740" t="s">
        <v>2905</v>
      </c>
      <c r="B2740" s="23">
        <v>1</v>
      </c>
    </row>
    <row r="2741" spans="1:2" x14ac:dyDescent="0.25">
      <c r="A2741" t="s">
        <v>2906</v>
      </c>
      <c r="B2741" s="23">
        <v>1</v>
      </c>
    </row>
    <row r="2742" spans="1:2" x14ac:dyDescent="0.25">
      <c r="A2742" t="s">
        <v>2907</v>
      </c>
      <c r="B2742" s="23">
        <v>1</v>
      </c>
    </row>
    <row r="2743" spans="1:2" x14ac:dyDescent="0.25">
      <c r="A2743" t="s">
        <v>2908</v>
      </c>
      <c r="B2743" s="23">
        <v>1</v>
      </c>
    </row>
    <row r="2744" spans="1:2" x14ac:dyDescent="0.25">
      <c r="A2744" t="s">
        <v>2909</v>
      </c>
      <c r="B2744" s="23">
        <v>1</v>
      </c>
    </row>
    <row r="2745" spans="1:2" x14ac:dyDescent="0.25">
      <c r="A2745" t="s">
        <v>2910</v>
      </c>
      <c r="B2745" s="23">
        <v>1</v>
      </c>
    </row>
    <row r="2746" spans="1:2" x14ac:dyDescent="0.25">
      <c r="A2746" t="s">
        <v>2911</v>
      </c>
      <c r="B2746" s="23">
        <v>1</v>
      </c>
    </row>
    <row r="2747" spans="1:2" x14ac:dyDescent="0.25">
      <c r="A2747" t="s">
        <v>2912</v>
      </c>
      <c r="B2747" s="23">
        <v>1</v>
      </c>
    </row>
    <row r="2748" spans="1:2" x14ac:dyDescent="0.25">
      <c r="A2748" t="s">
        <v>2913</v>
      </c>
      <c r="B2748" s="23">
        <v>1</v>
      </c>
    </row>
    <row r="2749" spans="1:2" x14ac:dyDescent="0.25">
      <c r="A2749" t="s">
        <v>2914</v>
      </c>
      <c r="B2749" s="23">
        <v>1</v>
      </c>
    </row>
    <row r="2750" spans="1:2" x14ac:dyDescent="0.25">
      <c r="A2750" t="s">
        <v>2915</v>
      </c>
      <c r="B2750" s="23">
        <v>1</v>
      </c>
    </row>
    <row r="2751" spans="1:2" x14ac:dyDescent="0.25">
      <c r="A2751" t="s">
        <v>2916</v>
      </c>
      <c r="B2751" s="23">
        <v>1</v>
      </c>
    </row>
    <row r="2752" spans="1:2" x14ac:dyDescent="0.25">
      <c r="A2752" t="s">
        <v>2917</v>
      </c>
      <c r="B2752" s="23">
        <v>1</v>
      </c>
    </row>
    <row r="2753" spans="1:2" x14ac:dyDescent="0.25">
      <c r="A2753" t="s">
        <v>2918</v>
      </c>
      <c r="B2753" s="23">
        <v>1</v>
      </c>
    </row>
    <row r="2754" spans="1:2" x14ac:dyDescent="0.25">
      <c r="A2754" t="s">
        <v>2919</v>
      </c>
      <c r="B2754" s="23">
        <v>1</v>
      </c>
    </row>
    <row r="2755" spans="1:2" x14ac:dyDescent="0.25">
      <c r="A2755" t="s">
        <v>2920</v>
      </c>
      <c r="B2755" s="23">
        <v>1</v>
      </c>
    </row>
    <row r="2756" spans="1:2" x14ac:dyDescent="0.25">
      <c r="A2756" t="s">
        <v>2921</v>
      </c>
      <c r="B2756" s="23">
        <v>1</v>
      </c>
    </row>
    <row r="2757" spans="1:2" x14ac:dyDescent="0.25">
      <c r="A2757" t="s">
        <v>2922</v>
      </c>
      <c r="B2757" s="23">
        <v>1</v>
      </c>
    </row>
    <row r="2758" spans="1:2" x14ac:dyDescent="0.25">
      <c r="A2758" t="s">
        <v>2923</v>
      </c>
      <c r="B2758" s="23">
        <v>1</v>
      </c>
    </row>
    <row r="2759" spans="1:2" x14ac:dyDescent="0.25">
      <c r="A2759" t="s">
        <v>2924</v>
      </c>
      <c r="B2759" s="23">
        <v>1</v>
      </c>
    </row>
    <row r="2760" spans="1:2" x14ac:dyDescent="0.25">
      <c r="A2760" t="s">
        <v>2925</v>
      </c>
      <c r="B2760" s="23">
        <v>1</v>
      </c>
    </row>
    <row r="2761" spans="1:2" x14ac:dyDescent="0.25">
      <c r="A2761" t="s">
        <v>2926</v>
      </c>
      <c r="B2761" s="23">
        <v>1</v>
      </c>
    </row>
    <row r="2762" spans="1:2" x14ac:dyDescent="0.25">
      <c r="A2762" t="s">
        <v>2927</v>
      </c>
      <c r="B2762" s="23">
        <v>1</v>
      </c>
    </row>
    <row r="2763" spans="1:2" x14ac:dyDescent="0.25">
      <c r="A2763" t="s">
        <v>2928</v>
      </c>
      <c r="B2763" s="23">
        <v>1</v>
      </c>
    </row>
    <row r="2764" spans="1:2" x14ac:dyDescent="0.25">
      <c r="A2764" t="s">
        <v>2929</v>
      </c>
      <c r="B2764" s="23">
        <v>1</v>
      </c>
    </row>
    <row r="2765" spans="1:2" x14ac:dyDescent="0.25">
      <c r="A2765" t="s">
        <v>2930</v>
      </c>
      <c r="B2765" s="23">
        <v>1</v>
      </c>
    </row>
    <row r="2766" spans="1:2" x14ac:dyDescent="0.25">
      <c r="A2766" t="s">
        <v>2931</v>
      </c>
      <c r="B2766" s="23">
        <v>1</v>
      </c>
    </row>
    <row r="2767" spans="1:2" x14ac:dyDescent="0.25">
      <c r="A2767" t="s">
        <v>2932</v>
      </c>
      <c r="B2767" s="23">
        <v>1</v>
      </c>
    </row>
    <row r="2768" spans="1:2" x14ac:dyDescent="0.25">
      <c r="A2768" t="s">
        <v>2933</v>
      </c>
      <c r="B2768" s="23">
        <v>1</v>
      </c>
    </row>
    <row r="2769" spans="1:2" x14ac:dyDescent="0.25">
      <c r="A2769" t="s">
        <v>2934</v>
      </c>
      <c r="B2769" s="23">
        <v>1</v>
      </c>
    </row>
    <row r="2770" spans="1:2" x14ac:dyDescent="0.25">
      <c r="A2770" t="s">
        <v>2935</v>
      </c>
      <c r="B2770" s="23">
        <v>1</v>
      </c>
    </row>
    <row r="2771" spans="1:2" x14ac:dyDescent="0.25">
      <c r="A2771" t="s">
        <v>2936</v>
      </c>
      <c r="B2771" s="23">
        <v>1</v>
      </c>
    </row>
    <row r="2772" spans="1:2" x14ac:dyDescent="0.25">
      <c r="A2772" t="s">
        <v>2937</v>
      </c>
      <c r="B2772" s="23">
        <v>1</v>
      </c>
    </row>
    <row r="2773" spans="1:2" x14ac:dyDescent="0.25">
      <c r="A2773" t="s">
        <v>2938</v>
      </c>
      <c r="B2773" s="23">
        <v>1</v>
      </c>
    </row>
    <row r="2774" spans="1:2" x14ac:dyDescent="0.25">
      <c r="A2774" t="s">
        <v>2939</v>
      </c>
      <c r="B2774" s="23">
        <v>1</v>
      </c>
    </row>
    <row r="2775" spans="1:2" x14ac:dyDescent="0.25">
      <c r="A2775" t="s">
        <v>2940</v>
      </c>
      <c r="B2775" s="23">
        <v>1</v>
      </c>
    </row>
    <row r="2776" spans="1:2" x14ac:dyDescent="0.25">
      <c r="A2776" t="s">
        <v>2941</v>
      </c>
      <c r="B2776" s="23">
        <v>1</v>
      </c>
    </row>
    <row r="2777" spans="1:2" x14ac:dyDescent="0.25">
      <c r="A2777" t="s">
        <v>2942</v>
      </c>
      <c r="B2777" s="23">
        <v>1</v>
      </c>
    </row>
    <row r="2778" spans="1:2" x14ac:dyDescent="0.25">
      <c r="A2778" t="s">
        <v>2943</v>
      </c>
      <c r="B2778" s="23">
        <v>1</v>
      </c>
    </row>
    <row r="2779" spans="1:2" x14ac:dyDescent="0.25">
      <c r="A2779" t="s">
        <v>2944</v>
      </c>
      <c r="B2779" s="23">
        <v>1</v>
      </c>
    </row>
    <row r="2780" spans="1:2" x14ac:dyDescent="0.25">
      <c r="A2780" t="s">
        <v>2945</v>
      </c>
      <c r="B2780" s="23">
        <v>1</v>
      </c>
    </row>
    <row r="2781" spans="1:2" x14ac:dyDescent="0.25">
      <c r="A2781" t="s">
        <v>2946</v>
      </c>
      <c r="B2781" s="23">
        <v>1</v>
      </c>
    </row>
    <row r="2782" spans="1:2" x14ac:dyDescent="0.25">
      <c r="A2782" t="s">
        <v>2947</v>
      </c>
      <c r="B2782" s="23">
        <v>1</v>
      </c>
    </row>
    <row r="2783" spans="1:2" x14ac:dyDescent="0.25">
      <c r="A2783" t="s">
        <v>2948</v>
      </c>
      <c r="B2783" s="23">
        <v>1</v>
      </c>
    </row>
    <row r="2784" spans="1:2" x14ac:dyDescent="0.25">
      <c r="A2784" t="s">
        <v>2949</v>
      </c>
      <c r="B2784" s="23">
        <v>1</v>
      </c>
    </row>
    <row r="2785" spans="1:2" x14ac:dyDescent="0.25">
      <c r="A2785" t="s">
        <v>2950</v>
      </c>
      <c r="B2785" s="23">
        <v>1</v>
      </c>
    </row>
    <row r="2786" spans="1:2" x14ac:dyDescent="0.25">
      <c r="A2786" t="s">
        <v>2951</v>
      </c>
      <c r="B2786" s="23">
        <v>1</v>
      </c>
    </row>
    <row r="2787" spans="1:2" x14ac:dyDescent="0.25">
      <c r="A2787" t="s">
        <v>2952</v>
      </c>
      <c r="B2787" s="23">
        <v>1</v>
      </c>
    </row>
    <row r="2788" spans="1:2" x14ac:dyDescent="0.25">
      <c r="A2788" t="s">
        <v>2953</v>
      </c>
      <c r="B2788" s="23">
        <v>1</v>
      </c>
    </row>
    <row r="2789" spans="1:2" x14ac:dyDescent="0.25">
      <c r="A2789" t="s">
        <v>2954</v>
      </c>
      <c r="B2789" s="23">
        <v>1</v>
      </c>
    </row>
    <row r="2790" spans="1:2" x14ac:dyDescent="0.25">
      <c r="A2790" t="s">
        <v>2955</v>
      </c>
      <c r="B2790" s="23">
        <v>1</v>
      </c>
    </row>
    <row r="2791" spans="1:2" x14ac:dyDescent="0.25">
      <c r="A2791" t="s">
        <v>2956</v>
      </c>
      <c r="B2791" s="23">
        <v>1</v>
      </c>
    </row>
    <row r="2792" spans="1:2" x14ac:dyDescent="0.25">
      <c r="A2792" t="s">
        <v>2957</v>
      </c>
      <c r="B2792" s="23">
        <v>1</v>
      </c>
    </row>
    <row r="2793" spans="1:2" x14ac:dyDescent="0.25">
      <c r="A2793" t="s">
        <v>2958</v>
      </c>
      <c r="B2793" s="23">
        <v>1</v>
      </c>
    </row>
    <row r="2794" spans="1:2" x14ac:dyDescent="0.25">
      <c r="A2794" t="s">
        <v>2959</v>
      </c>
      <c r="B2794" s="23">
        <v>1</v>
      </c>
    </row>
    <row r="2795" spans="1:2" x14ac:dyDescent="0.25">
      <c r="A2795" t="s">
        <v>2960</v>
      </c>
      <c r="B2795" s="23">
        <v>1</v>
      </c>
    </row>
    <row r="2796" spans="1:2" x14ac:dyDescent="0.25">
      <c r="A2796" t="s">
        <v>2961</v>
      </c>
      <c r="B2796" s="23">
        <v>1</v>
      </c>
    </row>
    <row r="2797" spans="1:2" x14ac:dyDescent="0.25">
      <c r="A2797" t="s">
        <v>2962</v>
      </c>
      <c r="B2797" s="23">
        <v>1</v>
      </c>
    </row>
    <row r="2798" spans="1:2" x14ac:dyDescent="0.25">
      <c r="A2798" t="s">
        <v>2963</v>
      </c>
      <c r="B2798" s="23">
        <v>1</v>
      </c>
    </row>
    <row r="2799" spans="1:2" x14ac:dyDescent="0.25">
      <c r="A2799" t="s">
        <v>2964</v>
      </c>
      <c r="B2799" s="23">
        <v>1</v>
      </c>
    </row>
    <row r="2800" spans="1:2" x14ac:dyDescent="0.25">
      <c r="A2800" t="s">
        <v>2965</v>
      </c>
      <c r="B2800" s="23">
        <v>1</v>
      </c>
    </row>
    <row r="2801" spans="1:2" x14ac:dyDescent="0.25">
      <c r="A2801" t="s">
        <v>2966</v>
      </c>
      <c r="B2801" s="23">
        <v>1</v>
      </c>
    </row>
    <row r="2802" spans="1:2" x14ac:dyDescent="0.25">
      <c r="A2802" t="s">
        <v>2967</v>
      </c>
      <c r="B2802" s="23">
        <v>1</v>
      </c>
    </row>
    <row r="2803" spans="1:2" x14ac:dyDescent="0.25">
      <c r="A2803" t="s">
        <v>2968</v>
      </c>
      <c r="B2803" s="23">
        <v>1</v>
      </c>
    </row>
    <row r="2804" spans="1:2" x14ac:dyDescent="0.25">
      <c r="A2804" t="s">
        <v>2969</v>
      </c>
      <c r="B2804" s="23">
        <v>1</v>
      </c>
    </row>
    <row r="2805" spans="1:2" x14ac:dyDescent="0.25">
      <c r="A2805" t="s">
        <v>2970</v>
      </c>
      <c r="B2805" s="23">
        <v>1</v>
      </c>
    </row>
    <row r="2806" spans="1:2" x14ac:dyDescent="0.25">
      <c r="A2806" t="s">
        <v>2971</v>
      </c>
      <c r="B2806" s="23">
        <v>1</v>
      </c>
    </row>
    <row r="2807" spans="1:2" x14ac:dyDescent="0.25">
      <c r="A2807" t="s">
        <v>2972</v>
      </c>
      <c r="B2807" s="23">
        <v>1</v>
      </c>
    </row>
    <row r="2808" spans="1:2" x14ac:dyDescent="0.25">
      <c r="A2808" t="s">
        <v>2973</v>
      </c>
      <c r="B2808" s="23">
        <v>1</v>
      </c>
    </row>
    <row r="2809" spans="1:2" x14ac:dyDescent="0.25">
      <c r="A2809" t="s">
        <v>2974</v>
      </c>
      <c r="B2809" s="23">
        <v>1</v>
      </c>
    </row>
    <row r="2810" spans="1:2" x14ac:dyDescent="0.25">
      <c r="A2810" t="s">
        <v>2975</v>
      </c>
      <c r="B2810" s="23">
        <v>1</v>
      </c>
    </row>
    <row r="2811" spans="1:2" x14ac:dyDescent="0.25">
      <c r="A2811" t="s">
        <v>2976</v>
      </c>
      <c r="B2811" s="23">
        <v>1</v>
      </c>
    </row>
    <row r="2812" spans="1:2" x14ac:dyDescent="0.25">
      <c r="A2812" t="s">
        <v>2977</v>
      </c>
      <c r="B2812" s="23">
        <v>1</v>
      </c>
    </row>
    <row r="2813" spans="1:2" x14ac:dyDescent="0.25">
      <c r="A2813" t="s">
        <v>2978</v>
      </c>
      <c r="B2813" s="23">
        <v>1</v>
      </c>
    </row>
    <row r="2814" spans="1:2" x14ac:dyDescent="0.25">
      <c r="A2814" t="s">
        <v>2979</v>
      </c>
      <c r="B2814" s="23">
        <v>1</v>
      </c>
    </row>
    <row r="2815" spans="1:2" x14ac:dyDescent="0.25">
      <c r="A2815" t="s">
        <v>2980</v>
      </c>
      <c r="B2815" s="23">
        <v>1</v>
      </c>
    </row>
    <row r="2816" spans="1:2" x14ac:dyDescent="0.25">
      <c r="A2816" t="s">
        <v>2981</v>
      </c>
      <c r="B2816" s="23">
        <v>1</v>
      </c>
    </row>
    <row r="2817" spans="1:2" x14ac:dyDescent="0.25">
      <c r="A2817" t="s">
        <v>2982</v>
      </c>
      <c r="B2817" s="23">
        <v>1</v>
      </c>
    </row>
    <row r="2818" spans="1:2" x14ac:dyDescent="0.25">
      <c r="A2818" t="s">
        <v>2983</v>
      </c>
      <c r="B2818" s="23">
        <v>1</v>
      </c>
    </row>
    <row r="2819" spans="1:2" x14ac:dyDescent="0.25">
      <c r="A2819" t="s">
        <v>2984</v>
      </c>
      <c r="B2819" s="23">
        <v>1</v>
      </c>
    </row>
    <row r="2820" spans="1:2" x14ac:dyDescent="0.25">
      <c r="A2820" t="s">
        <v>2985</v>
      </c>
      <c r="B2820" s="23">
        <v>1</v>
      </c>
    </row>
    <row r="2821" spans="1:2" x14ac:dyDescent="0.25">
      <c r="A2821" t="s">
        <v>2986</v>
      </c>
      <c r="B2821" s="23">
        <v>1</v>
      </c>
    </row>
    <row r="2822" spans="1:2" x14ac:dyDescent="0.25">
      <c r="A2822" t="s">
        <v>2987</v>
      </c>
      <c r="B2822" s="23">
        <v>1</v>
      </c>
    </row>
    <row r="2823" spans="1:2" x14ac:dyDescent="0.25">
      <c r="A2823" t="s">
        <v>2988</v>
      </c>
      <c r="B2823" s="23">
        <v>1</v>
      </c>
    </row>
    <row r="2824" spans="1:2" x14ac:dyDescent="0.25">
      <c r="A2824" t="s">
        <v>2989</v>
      </c>
      <c r="B2824" s="23">
        <v>1</v>
      </c>
    </row>
    <row r="2825" spans="1:2" x14ac:dyDescent="0.25">
      <c r="A2825" t="s">
        <v>2990</v>
      </c>
      <c r="B2825" s="23">
        <v>1</v>
      </c>
    </row>
    <row r="2826" spans="1:2" x14ac:dyDescent="0.25">
      <c r="A2826" t="s">
        <v>2991</v>
      </c>
      <c r="B2826" s="23">
        <v>1</v>
      </c>
    </row>
    <row r="2827" spans="1:2" x14ac:dyDescent="0.25">
      <c r="A2827" t="s">
        <v>2992</v>
      </c>
      <c r="B2827" s="23">
        <v>1</v>
      </c>
    </row>
    <row r="2828" spans="1:2" x14ac:dyDescent="0.25">
      <c r="A2828" t="s">
        <v>2993</v>
      </c>
      <c r="B2828" s="23">
        <v>1</v>
      </c>
    </row>
    <row r="2829" spans="1:2" x14ac:dyDescent="0.25">
      <c r="A2829" t="s">
        <v>2994</v>
      </c>
      <c r="B2829" s="23">
        <v>1</v>
      </c>
    </row>
    <row r="2830" spans="1:2" x14ac:dyDescent="0.25">
      <c r="A2830" t="s">
        <v>2995</v>
      </c>
      <c r="B2830" s="23">
        <v>1</v>
      </c>
    </row>
    <row r="2831" spans="1:2" x14ac:dyDescent="0.25">
      <c r="A2831" t="s">
        <v>2996</v>
      </c>
      <c r="B2831" s="23">
        <v>1</v>
      </c>
    </row>
    <row r="2832" spans="1:2" x14ac:dyDescent="0.25">
      <c r="A2832" t="s">
        <v>2997</v>
      </c>
      <c r="B2832" s="23">
        <v>1</v>
      </c>
    </row>
    <row r="2833" spans="1:2" x14ac:dyDescent="0.25">
      <c r="A2833" t="s">
        <v>2998</v>
      </c>
      <c r="B2833" s="23">
        <v>1</v>
      </c>
    </row>
    <row r="2834" spans="1:2" x14ac:dyDescent="0.25">
      <c r="A2834" t="s">
        <v>2999</v>
      </c>
      <c r="B2834" s="23">
        <v>1</v>
      </c>
    </row>
    <row r="2835" spans="1:2" x14ac:dyDescent="0.25">
      <c r="A2835" t="s">
        <v>3000</v>
      </c>
      <c r="B2835" s="23">
        <v>1</v>
      </c>
    </row>
    <row r="2836" spans="1:2" x14ac:dyDescent="0.25">
      <c r="A2836" t="s">
        <v>3001</v>
      </c>
      <c r="B2836" s="23">
        <v>1</v>
      </c>
    </row>
    <row r="2837" spans="1:2" x14ac:dyDescent="0.25">
      <c r="A2837" t="s">
        <v>3002</v>
      </c>
      <c r="B2837" s="23">
        <v>1</v>
      </c>
    </row>
    <row r="2838" spans="1:2" x14ac:dyDescent="0.25">
      <c r="A2838" t="s">
        <v>3003</v>
      </c>
      <c r="B2838" s="23">
        <v>1</v>
      </c>
    </row>
    <row r="2839" spans="1:2" x14ac:dyDescent="0.25">
      <c r="A2839" t="s">
        <v>3004</v>
      </c>
      <c r="B2839" s="23">
        <v>1</v>
      </c>
    </row>
    <row r="2840" spans="1:2" x14ac:dyDescent="0.25">
      <c r="A2840" t="s">
        <v>3005</v>
      </c>
      <c r="B2840" s="23">
        <v>1</v>
      </c>
    </row>
    <row r="2841" spans="1:2" x14ac:dyDescent="0.25">
      <c r="A2841" t="s">
        <v>3006</v>
      </c>
      <c r="B2841" s="23">
        <v>1</v>
      </c>
    </row>
    <row r="2842" spans="1:2" x14ac:dyDescent="0.25">
      <c r="A2842" t="s">
        <v>3007</v>
      </c>
      <c r="B2842" s="23">
        <v>1</v>
      </c>
    </row>
    <row r="2843" spans="1:2" x14ac:dyDescent="0.25">
      <c r="A2843" t="s">
        <v>3008</v>
      </c>
      <c r="B2843" s="23">
        <v>1</v>
      </c>
    </row>
    <row r="2844" spans="1:2" x14ac:dyDescent="0.25">
      <c r="A2844" t="s">
        <v>3009</v>
      </c>
      <c r="B2844" s="23">
        <v>1</v>
      </c>
    </row>
    <row r="2845" spans="1:2" x14ac:dyDescent="0.25">
      <c r="A2845" t="s">
        <v>3010</v>
      </c>
      <c r="B2845" s="23">
        <v>1</v>
      </c>
    </row>
    <row r="2846" spans="1:2" x14ac:dyDescent="0.25">
      <c r="A2846" t="s">
        <v>3011</v>
      </c>
      <c r="B2846" s="23">
        <v>1</v>
      </c>
    </row>
    <row r="2847" spans="1:2" x14ac:dyDescent="0.25">
      <c r="A2847" t="s">
        <v>3012</v>
      </c>
      <c r="B2847" s="23">
        <v>1</v>
      </c>
    </row>
    <row r="2848" spans="1:2" x14ac:dyDescent="0.25">
      <c r="A2848" t="s">
        <v>3013</v>
      </c>
      <c r="B2848" s="23">
        <v>1</v>
      </c>
    </row>
    <row r="2849" spans="1:2" x14ac:dyDescent="0.25">
      <c r="A2849" t="s">
        <v>3014</v>
      </c>
      <c r="B2849" s="23">
        <v>1</v>
      </c>
    </row>
    <row r="2850" spans="1:2" x14ac:dyDescent="0.25">
      <c r="A2850" t="s">
        <v>3015</v>
      </c>
      <c r="B2850" s="23">
        <v>1</v>
      </c>
    </row>
    <row r="2851" spans="1:2" x14ac:dyDescent="0.25">
      <c r="A2851" t="s">
        <v>3016</v>
      </c>
      <c r="B2851" s="23">
        <v>1</v>
      </c>
    </row>
    <row r="2852" spans="1:2" x14ac:dyDescent="0.25">
      <c r="A2852" t="s">
        <v>3017</v>
      </c>
      <c r="B2852" s="23">
        <v>1</v>
      </c>
    </row>
    <row r="2853" spans="1:2" x14ac:dyDescent="0.25">
      <c r="A2853" t="s">
        <v>3018</v>
      </c>
      <c r="B2853" s="23">
        <v>1</v>
      </c>
    </row>
    <row r="2854" spans="1:2" x14ac:dyDescent="0.25">
      <c r="A2854" t="s">
        <v>3019</v>
      </c>
      <c r="B2854" s="23">
        <v>1</v>
      </c>
    </row>
    <row r="2855" spans="1:2" x14ac:dyDescent="0.25">
      <c r="A2855" t="s">
        <v>3020</v>
      </c>
      <c r="B2855" s="23">
        <v>1</v>
      </c>
    </row>
    <row r="2856" spans="1:2" x14ac:dyDescent="0.25">
      <c r="A2856" t="s">
        <v>3021</v>
      </c>
      <c r="B2856" s="23">
        <v>1</v>
      </c>
    </row>
    <row r="2857" spans="1:2" x14ac:dyDescent="0.25">
      <c r="A2857" t="s">
        <v>3022</v>
      </c>
      <c r="B2857" s="23">
        <v>1</v>
      </c>
    </row>
    <row r="2858" spans="1:2" x14ac:dyDescent="0.25">
      <c r="A2858" t="s">
        <v>3023</v>
      </c>
      <c r="B2858" s="23">
        <v>1</v>
      </c>
    </row>
    <row r="2859" spans="1:2" x14ac:dyDescent="0.25">
      <c r="A2859" t="s">
        <v>3024</v>
      </c>
      <c r="B2859" s="23">
        <v>1</v>
      </c>
    </row>
    <row r="2860" spans="1:2" x14ac:dyDescent="0.25">
      <c r="A2860" t="s">
        <v>3025</v>
      </c>
      <c r="B2860" s="23">
        <v>1</v>
      </c>
    </row>
    <row r="2861" spans="1:2" x14ac:dyDescent="0.25">
      <c r="A2861" t="s">
        <v>3026</v>
      </c>
      <c r="B2861" s="23">
        <v>1</v>
      </c>
    </row>
    <row r="2862" spans="1:2" x14ac:dyDescent="0.25">
      <c r="A2862" t="s">
        <v>3027</v>
      </c>
      <c r="B2862" s="23">
        <v>1</v>
      </c>
    </row>
    <row r="2863" spans="1:2" x14ac:dyDescent="0.25">
      <c r="A2863" t="s">
        <v>3028</v>
      </c>
      <c r="B2863" s="23">
        <v>1</v>
      </c>
    </row>
    <row r="2864" spans="1:2" x14ac:dyDescent="0.25">
      <c r="A2864" t="s">
        <v>3029</v>
      </c>
      <c r="B2864" s="23">
        <v>1</v>
      </c>
    </row>
    <row r="2865" spans="1:2" x14ac:dyDescent="0.25">
      <c r="A2865" t="s">
        <v>3030</v>
      </c>
      <c r="B2865" s="23">
        <v>1</v>
      </c>
    </row>
    <row r="2866" spans="1:2" x14ac:dyDescent="0.25">
      <c r="A2866" t="s">
        <v>3031</v>
      </c>
      <c r="B2866" s="23">
        <v>70</v>
      </c>
    </row>
    <row r="2867" spans="1:2" x14ac:dyDescent="0.25">
      <c r="A2867" t="s">
        <v>3032</v>
      </c>
      <c r="B2867" s="23">
        <v>70</v>
      </c>
    </row>
    <row r="2868" spans="1:2" x14ac:dyDescent="0.25">
      <c r="A2868" t="s">
        <v>3033</v>
      </c>
      <c r="B2868" s="23">
        <v>70</v>
      </c>
    </row>
    <row r="2869" spans="1:2" x14ac:dyDescent="0.25">
      <c r="A2869" t="s">
        <v>3034</v>
      </c>
      <c r="B2869" s="23">
        <v>70</v>
      </c>
    </row>
    <row r="2870" spans="1:2" x14ac:dyDescent="0.25">
      <c r="A2870" t="s">
        <v>3035</v>
      </c>
      <c r="B2870" s="23">
        <v>70</v>
      </c>
    </row>
    <row r="2871" spans="1:2" x14ac:dyDescent="0.25">
      <c r="A2871" t="s">
        <v>3036</v>
      </c>
      <c r="B2871" s="23">
        <v>70</v>
      </c>
    </row>
    <row r="2872" spans="1:2" x14ac:dyDescent="0.25">
      <c r="A2872" t="s">
        <v>3037</v>
      </c>
      <c r="B2872" s="23">
        <v>70</v>
      </c>
    </row>
    <row r="2873" spans="1:2" x14ac:dyDescent="0.25">
      <c r="A2873" t="s">
        <v>3038</v>
      </c>
      <c r="B2873" s="23">
        <v>70</v>
      </c>
    </row>
    <row r="2874" spans="1:2" x14ac:dyDescent="0.25">
      <c r="A2874" t="s">
        <v>3039</v>
      </c>
      <c r="B2874" s="23">
        <v>70</v>
      </c>
    </row>
    <row r="2875" spans="1:2" x14ac:dyDescent="0.25">
      <c r="A2875" t="s">
        <v>3040</v>
      </c>
      <c r="B2875" s="23">
        <v>70</v>
      </c>
    </row>
    <row r="2876" spans="1:2" x14ac:dyDescent="0.25">
      <c r="A2876" t="s">
        <v>3041</v>
      </c>
      <c r="B2876" s="23">
        <v>70</v>
      </c>
    </row>
    <row r="2877" spans="1:2" x14ac:dyDescent="0.25">
      <c r="A2877" t="s">
        <v>3042</v>
      </c>
      <c r="B2877" s="23">
        <v>70</v>
      </c>
    </row>
    <row r="2878" spans="1:2" x14ac:dyDescent="0.25">
      <c r="A2878" t="s">
        <v>3043</v>
      </c>
      <c r="B2878" s="23">
        <v>70</v>
      </c>
    </row>
    <row r="2879" spans="1:2" x14ac:dyDescent="0.25">
      <c r="A2879" t="s">
        <v>3044</v>
      </c>
      <c r="B2879" s="23">
        <v>70</v>
      </c>
    </row>
    <row r="2880" spans="1:2" x14ac:dyDescent="0.25">
      <c r="A2880" t="s">
        <v>3045</v>
      </c>
      <c r="B2880" s="23">
        <v>69</v>
      </c>
    </row>
    <row r="2881" spans="1:2" x14ac:dyDescent="0.25">
      <c r="A2881" t="s">
        <v>3046</v>
      </c>
      <c r="B2881" s="23">
        <v>69</v>
      </c>
    </row>
    <row r="2882" spans="1:2" x14ac:dyDescent="0.25">
      <c r="A2882" t="s">
        <v>3047</v>
      </c>
      <c r="B2882" s="23">
        <v>68</v>
      </c>
    </row>
    <row r="2883" spans="1:2" x14ac:dyDescent="0.25">
      <c r="A2883" t="s">
        <v>3048</v>
      </c>
      <c r="B2883" s="23">
        <v>68</v>
      </c>
    </row>
    <row r="2884" spans="1:2" x14ac:dyDescent="0.25">
      <c r="A2884" t="s">
        <v>3049</v>
      </c>
      <c r="B2884" s="23">
        <v>67</v>
      </c>
    </row>
    <row r="2885" spans="1:2" x14ac:dyDescent="0.25">
      <c r="A2885" t="s">
        <v>3050</v>
      </c>
      <c r="B2885" s="23">
        <v>67</v>
      </c>
    </row>
    <row r="2886" spans="1:2" x14ac:dyDescent="0.25">
      <c r="A2886" t="s">
        <v>3051</v>
      </c>
      <c r="B2886" s="23">
        <v>66</v>
      </c>
    </row>
    <row r="2887" spans="1:2" x14ac:dyDescent="0.25">
      <c r="A2887" t="s">
        <v>3052</v>
      </c>
      <c r="B2887" s="23">
        <v>66</v>
      </c>
    </row>
    <row r="2888" spans="1:2" x14ac:dyDescent="0.25">
      <c r="A2888" t="s">
        <v>3053</v>
      </c>
      <c r="B2888" s="23">
        <v>65</v>
      </c>
    </row>
    <row r="2889" spans="1:2" x14ac:dyDescent="0.25">
      <c r="A2889" t="s">
        <v>3054</v>
      </c>
      <c r="B2889" s="23">
        <v>65</v>
      </c>
    </row>
    <row r="2890" spans="1:2" x14ac:dyDescent="0.25">
      <c r="A2890" t="s">
        <v>3055</v>
      </c>
      <c r="B2890" s="23">
        <v>64</v>
      </c>
    </row>
    <row r="2891" spans="1:2" x14ac:dyDescent="0.25">
      <c r="A2891" t="s">
        <v>3056</v>
      </c>
      <c r="B2891" s="23">
        <v>64</v>
      </c>
    </row>
    <row r="2892" spans="1:2" x14ac:dyDescent="0.25">
      <c r="A2892" t="s">
        <v>3057</v>
      </c>
      <c r="B2892" s="23">
        <v>63</v>
      </c>
    </row>
    <row r="2893" spans="1:2" x14ac:dyDescent="0.25">
      <c r="A2893" t="s">
        <v>3058</v>
      </c>
      <c r="B2893" s="23">
        <v>63</v>
      </c>
    </row>
    <row r="2894" spans="1:2" x14ac:dyDescent="0.25">
      <c r="A2894" t="s">
        <v>3059</v>
      </c>
      <c r="B2894" s="23">
        <v>62</v>
      </c>
    </row>
    <row r="2895" spans="1:2" x14ac:dyDescent="0.25">
      <c r="A2895" t="s">
        <v>3060</v>
      </c>
      <c r="B2895" s="23">
        <v>62</v>
      </c>
    </row>
    <row r="2896" spans="1:2" x14ac:dyDescent="0.25">
      <c r="A2896" t="s">
        <v>3061</v>
      </c>
      <c r="B2896" s="23">
        <v>61</v>
      </c>
    </row>
    <row r="2897" spans="1:2" x14ac:dyDescent="0.25">
      <c r="A2897" t="s">
        <v>3062</v>
      </c>
      <c r="B2897" s="23">
        <v>61</v>
      </c>
    </row>
    <row r="2898" spans="1:2" x14ac:dyDescent="0.25">
      <c r="A2898" t="s">
        <v>3063</v>
      </c>
      <c r="B2898" s="23">
        <v>60</v>
      </c>
    </row>
    <row r="2899" spans="1:2" x14ac:dyDescent="0.25">
      <c r="A2899" t="s">
        <v>3064</v>
      </c>
      <c r="B2899" s="23">
        <v>60</v>
      </c>
    </row>
    <row r="2900" spans="1:2" x14ac:dyDescent="0.25">
      <c r="A2900" t="s">
        <v>3065</v>
      </c>
      <c r="B2900" s="23">
        <v>59</v>
      </c>
    </row>
    <row r="2901" spans="1:2" x14ac:dyDescent="0.25">
      <c r="A2901" t="s">
        <v>3066</v>
      </c>
      <c r="B2901" s="23">
        <v>59</v>
      </c>
    </row>
    <row r="2902" spans="1:2" x14ac:dyDescent="0.25">
      <c r="A2902" t="s">
        <v>3067</v>
      </c>
      <c r="B2902" s="23">
        <v>58</v>
      </c>
    </row>
    <row r="2903" spans="1:2" x14ac:dyDescent="0.25">
      <c r="A2903" t="s">
        <v>3068</v>
      </c>
      <c r="B2903" s="23">
        <v>58</v>
      </c>
    </row>
    <row r="2904" spans="1:2" x14ac:dyDescent="0.25">
      <c r="A2904" t="s">
        <v>3069</v>
      </c>
      <c r="B2904" s="23">
        <v>57</v>
      </c>
    </row>
    <row r="2905" spans="1:2" x14ac:dyDescent="0.25">
      <c r="A2905" t="s">
        <v>3070</v>
      </c>
      <c r="B2905" s="23">
        <v>57</v>
      </c>
    </row>
    <row r="2906" spans="1:2" x14ac:dyDescent="0.25">
      <c r="A2906" t="s">
        <v>3071</v>
      </c>
      <c r="B2906" s="23">
        <v>56</v>
      </c>
    </row>
    <row r="2907" spans="1:2" x14ac:dyDescent="0.25">
      <c r="A2907" t="s">
        <v>3072</v>
      </c>
      <c r="B2907" s="23">
        <v>56</v>
      </c>
    </row>
    <row r="2908" spans="1:2" x14ac:dyDescent="0.25">
      <c r="A2908" t="s">
        <v>3073</v>
      </c>
      <c r="B2908" s="23">
        <v>55</v>
      </c>
    </row>
    <row r="2909" spans="1:2" x14ac:dyDescent="0.25">
      <c r="A2909" t="s">
        <v>3074</v>
      </c>
      <c r="B2909" s="23">
        <v>55</v>
      </c>
    </row>
    <row r="2910" spans="1:2" x14ac:dyDescent="0.25">
      <c r="A2910" t="s">
        <v>3075</v>
      </c>
      <c r="B2910" s="23">
        <v>54</v>
      </c>
    </row>
    <row r="2911" spans="1:2" x14ac:dyDescent="0.25">
      <c r="A2911" t="s">
        <v>3076</v>
      </c>
      <c r="B2911" s="23">
        <v>54</v>
      </c>
    </row>
    <row r="2912" spans="1:2" x14ac:dyDescent="0.25">
      <c r="A2912" t="s">
        <v>3077</v>
      </c>
      <c r="B2912" s="23">
        <v>53</v>
      </c>
    </row>
    <row r="2913" spans="1:2" x14ac:dyDescent="0.25">
      <c r="A2913" t="s">
        <v>3078</v>
      </c>
      <c r="B2913" s="23">
        <v>53</v>
      </c>
    </row>
    <row r="2914" spans="1:2" x14ac:dyDescent="0.25">
      <c r="A2914" t="s">
        <v>3079</v>
      </c>
      <c r="B2914" s="23">
        <v>52</v>
      </c>
    </row>
    <row r="2915" spans="1:2" x14ac:dyDescent="0.25">
      <c r="A2915" t="s">
        <v>3080</v>
      </c>
      <c r="B2915" s="23">
        <v>52</v>
      </c>
    </row>
    <row r="2916" spans="1:2" x14ac:dyDescent="0.25">
      <c r="A2916" t="s">
        <v>3081</v>
      </c>
      <c r="B2916" s="23">
        <v>51</v>
      </c>
    </row>
    <row r="2917" spans="1:2" x14ac:dyDescent="0.25">
      <c r="A2917" t="s">
        <v>3082</v>
      </c>
      <c r="B2917" s="23">
        <v>51</v>
      </c>
    </row>
    <row r="2918" spans="1:2" x14ac:dyDescent="0.25">
      <c r="A2918" t="s">
        <v>3083</v>
      </c>
      <c r="B2918" s="23">
        <v>51</v>
      </c>
    </row>
    <row r="2919" spans="1:2" x14ac:dyDescent="0.25">
      <c r="A2919" t="s">
        <v>3084</v>
      </c>
      <c r="B2919" s="23">
        <v>51</v>
      </c>
    </row>
    <row r="2920" spans="1:2" x14ac:dyDescent="0.25">
      <c r="A2920" t="s">
        <v>3085</v>
      </c>
      <c r="B2920" s="23">
        <v>50</v>
      </c>
    </row>
    <row r="2921" spans="1:2" x14ac:dyDescent="0.25">
      <c r="A2921" t="s">
        <v>3086</v>
      </c>
      <c r="B2921" s="23">
        <v>50</v>
      </c>
    </row>
    <row r="2922" spans="1:2" x14ac:dyDescent="0.25">
      <c r="A2922" t="s">
        <v>3087</v>
      </c>
      <c r="B2922" s="23">
        <v>49</v>
      </c>
    </row>
    <row r="2923" spans="1:2" x14ac:dyDescent="0.25">
      <c r="A2923" t="s">
        <v>3088</v>
      </c>
      <c r="B2923" s="23">
        <v>49</v>
      </c>
    </row>
    <row r="2924" spans="1:2" x14ac:dyDescent="0.25">
      <c r="A2924" t="s">
        <v>3089</v>
      </c>
      <c r="B2924" s="23">
        <v>48</v>
      </c>
    </row>
    <row r="2925" spans="1:2" x14ac:dyDescent="0.25">
      <c r="A2925" t="s">
        <v>3090</v>
      </c>
      <c r="B2925" s="23">
        <v>48</v>
      </c>
    </row>
    <row r="2926" spans="1:2" x14ac:dyDescent="0.25">
      <c r="A2926" t="s">
        <v>3091</v>
      </c>
      <c r="B2926" s="23">
        <v>47</v>
      </c>
    </row>
    <row r="2927" spans="1:2" x14ac:dyDescent="0.25">
      <c r="A2927" t="s">
        <v>3092</v>
      </c>
      <c r="B2927" s="23">
        <v>47</v>
      </c>
    </row>
    <row r="2928" spans="1:2" x14ac:dyDescent="0.25">
      <c r="A2928" t="s">
        <v>3093</v>
      </c>
      <c r="B2928" s="23">
        <v>46</v>
      </c>
    </row>
    <row r="2929" spans="1:2" x14ac:dyDescent="0.25">
      <c r="A2929" t="s">
        <v>3094</v>
      </c>
      <c r="B2929" s="23">
        <v>46</v>
      </c>
    </row>
    <row r="2930" spans="1:2" x14ac:dyDescent="0.25">
      <c r="A2930" t="s">
        <v>3095</v>
      </c>
      <c r="B2930" s="23">
        <v>45</v>
      </c>
    </row>
    <row r="2931" spans="1:2" x14ac:dyDescent="0.25">
      <c r="A2931" t="s">
        <v>3096</v>
      </c>
      <c r="B2931" s="23">
        <v>45</v>
      </c>
    </row>
    <row r="2932" spans="1:2" x14ac:dyDescent="0.25">
      <c r="A2932" t="s">
        <v>3097</v>
      </c>
      <c r="B2932" s="23">
        <v>45</v>
      </c>
    </row>
    <row r="2933" spans="1:2" x14ac:dyDescent="0.25">
      <c r="A2933" t="s">
        <v>3098</v>
      </c>
      <c r="B2933" s="23">
        <v>45</v>
      </c>
    </row>
    <row r="2934" spans="1:2" x14ac:dyDescent="0.25">
      <c r="A2934" t="s">
        <v>3099</v>
      </c>
      <c r="B2934" s="23">
        <v>45</v>
      </c>
    </row>
    <row r="2935" spans="1:2" x14ac:dyDescent="0.25">
      <c r="A2935" t="s">
        <v>3100</v>
      </c>
      <c r="B2935" s="23">
        <v>44</v>
      </c>
    </row>
    <row r="2936" spans="1:2" x14ac:dyDescent="0.25">
      <c r="A2936" t="s">
        <v>3101</v>
      </c>
      <c r="B2936" s="23">
        <v>44</v>
      </c>
    </row>
    <row r="2937" spans="1:2" x14ac:dyDescent="0.25">
      <c r="A2937" t="s">
        <v>3102</v>
      </c>
      <c r="B2937" s="23">
        <v>44</v>
      </c>
    </row>
    <row r="2938" spans="1:2" x14ac:dyDescent="0.25">
      <c r="A2938" t="s">
        <v>3103</v>
      </c>
      <c r="B2938" s="23">
        <v>44</v>
      </c>
    </row>
    <row r="2939" spans="1:2" x14ac:dyDescent="0.25">
      <c r="A2939" t="s">
        <v>3104</v>
      </c>
      <c r="B2939" s="23">
        <v>44</v>
      </c>
    </row>
    <row r="2940" spans="1:2" x14ac:dyDescent="0.25">
      <c r="A2940" t="s">
        <v>3105</v>
      </c>
      <c r="B2940" s="23">
        <v>43</v>
      </c>
    </row>
    <row r="2941" spans="1:2" x14ac:dyDescent="0.25">
      <c r="A2941" t="s">
        <v>3106</v>
      </c>
      <c r="B2941" s="23">
        <v>43</v>
      </c>
    </row>
    <row r="2942" spans="1:2" x14ac:dyDescent="0.25">
      <c r="A2942" t="s">
        <v>3107</v>
      </c>
      <c r="B2942" s="23">
        <v>43</v>
      </c>
    </row>
    <row r="2943" spans="1:2" x14ac:dyDescent="0.25">
      <c r="A2943" t="s">
        <v>3108</v>
      </c>
      <c r="B2943" s="23">
        <v>43</v>
      </c>
    </row>
    <row r="2944" spans="1:2" x14ac:dyDescent="0.25">
      <c r="A2944" t="s">
        <v>3109</v>
      </c>
      <c r="B2944" s="23">
        <v>43</v>
      </c>
    </row>
    <row r="2945" spans="1:2" x14ac:dyDescent="0.25">
      <c r="A2945" t="s">
        <v>3110</v>
      </c>
      <c r="B2945" s="23">
        <v>42</v>
      </c>
    </row>
    <row r="2946" spans="1:2" x14ac:dyDescent="0.25">
      <c r="A2946" t="s">
        <v>3111</v>
      </c>
      <c r="B2946" s="23">
        <v>42</v>
      </c>
    </row>
    <row r="2947" spans="1:2" x14ac:dyDescent="0.25">
      <c r="A2947" t="s">
        <v>3112</v>
      </c>
      <c r="B2947" s="23">
        <v>42</v>
      </c>
    </row>
    <row r="2948" spans="1:2" x14ac:dyDescent="0.25">
      <c r="A2948" t="s">
        <v>3113</v>
      </c>
      <c r="B2948" s="23">
        <v>42</v>
      </c>
    </row>
    <row r="2949" spans="1:2" x14ac:dyDescent="0.25">
      <c r="A2949" t="s">
        <v>3114</v>
      </c>
      <c r="B2949" s="23">
        <v>42</v>
      </c>
    </row>
    <row r="2950" spans="1:2" x14ac:dyDescent="0.25">
      <c r="A2950" t="s">
        <v>3115</v>
      </c>
      <c r="B2950" s="23">
        <v>41</v>
      </c>
    </row>
    <row r="2951" spans="1:2" x14ac:dyDescent="0.25">
      <c r="A2951" t="s">
        <v>3116</v>
      </c>
      <c r="B2951" s="23">
        <v>41</v>
      </c>
    </row>
    <row r="2952" spans="1:2" x14ac:dyDescent="0.25">
      <c r="A2952" t="s">
        <v>3117</v>
      </c>
      <c r="B2952" s="23">
        <v>41</v>
      </c>
    </row>
    <row r="2953" spans="1:2" x14ac:dyDescent="0.25">
      <c r="A2953" t="s">
        <v>3118</v>
      </c>
      <c r="B2953" s="23">
        <v>41</v>
      </c>
    </row>
    <row r="2954" spans="1:2" x14ac:dyDescent="0.25">
      <c r="A2954" t="s">
        <v>3119</v>
      </c>
      <c r="B2954" s="23">
        <v>41</v>
      </c>
    </row>
    <row r="2955" spans="1:2" x14ac:dyDescent="0.25">
      <c r="A2955" t="s">
        <v>3120</v>
      </c>
      <c r="B2955" s="23">
        <v>40</v>
      </c>
    </row>
    <row r="2956" spans="1:2" x14ac:dyDescent="0.25">
      <c r="A2956" t="s">
        <v>3121</v>
      </c>
      <c r="B2956" s="23">
        <v>40</v>
      </c>
    </row>
    <row r="2957" spans="1:2" x14ac:dyDescent="0.25">
      <c r="A2957" t="s">
        <v>3122</v>
      </c>
      <c r="B2957" s="23">
        <v>40</v>
      </c>
    </row>
    <row r="2958" spans="1:2" x14ac:dyDescent="0.25">
      <c r="A2958" t="s">
        <v>3123</v>
      </c>
      <c r="B2958" s="23">
        <v>40</v>
      </c>
    </row>
    <row r="2959" spans="1:2" x14ac:dyDescent="0.25">
      <c r="A2959" t="s">
        <v>3124</v>
      </c>
      <c r="B2959" s="23">
        <v>40</v>
      </c>
    </row>
    <row r="2960" spans="1:2" x14ac:dyDescent="0.25">
      <c r="A2960" t="s">
        <v>3125</v>
      </c>
      <c r="B2960" s="23">
        <v>39</v>
      </c>
    </row>
    <row r="2961" spans="1:2" x14ac:dyDescent="0.25">
      <c r="A2961" t="s">
        <v>3126</v>
      </c>
      <c r="B2961" s="23">
        <v>39</v>
      </c>
    </row>
    <row r="2962" spans="1:2" x14ac:dyDescent="0.25">
      <c r="A2962" t="s">
        <v>3127</v>
      </c>
      <c r="B2962" s="23">
        <v>39</v>
      </c>
    </row>
    <row r="2963" spans="1:2" x14ac:dyDescent="0.25">
      <c r="A2963" t="s">
        <v>3128</v>
      </c>
      <c r="B2963" s="23">
        <v>39</v>
      </c>
    </row>
    <row r="2964" spans="1:2" x14ac:dyDescent="0.25">
      <c r="A2964" t="s">
        <v>3129</v>
      </c>
      <c r="B2964" s="23">
        <v>39</v>
      </c>
    </row>
    <row r="2965" spans="1:2" x14ac:dyDescent="0.25">
      <c r="A2965" t="s">
        <v>3130</v>
      </c>
      <c r="B2965" s="23">
        <v>38</v>
      </c>
    </row>
    <row r="2966" spans="1:2" x14ac:dyDescent="0.25">
      <c r="A2966" t="s">
        <v>3131</v>
      </c>
      <c r="B2966" s="23">
        <v>38</v>
      </c>
    </row>
    <row r="2967" spans="1:2" x14ac:dyDescent="0.25">
      <c r="A2967" t="s">
        <v>3132</v>
      </c>
      <c r="B2967" s="23">
        <v>38</v>
      </c>
    </row>
    <row r="2968" spans="1:2" x14ac:dyDescent="0.25">
      <c r="A2968" t="s">
        <v>3133</v>
      </c>
      <c r="B2968" s="23">
        <v>38</v>
      </c>
    </row>
    <row r="2969" spans="1:2" x14ac:dyDescent="0.25">
      <c r="A2969" t="s">
        <v>3134</v>
      </c>
      <c r="B2969" s="23">
        <v>38</v>
      </c>
    </row>
    <row r="2970" spans="1:2" x14ac:dyDescent="0.25">
      <c r="A2970" t="s">
        <v>3135</v>
      </c>
      <c r="B2970" s="23">
        <v>37</v>
      </c>
    </row>
    <row r="2971" spans="1:2" x14ac:dyDescent="0.25">
      <c r="A2971" t="s">
        <v>3136</v>
      </c>
      <c r="B2971" s="23">
        <v>37</v>
      </c>
    </row>
    <row r="2972" spans="1:2" x14ac:dyDescent="0.25">
      <c r="A2972" t="s">
        <v>3137</v>
      </c>
      <c r="B2972" s="23">
        <v>37</v>
      </c>
    </row>
    <row r="2973" spans="1:2" x14ac:dyDescent="0.25">
      <c r="A2973" t="s">
        <v>3138</v>
      </c>
      <c r="B2973" s="23">
        <v>37</v>
      </c>
    </row>
    <row r="2974" spans="1:2" x14ac:dyDescent="0.25">
      <c r="A2974" t="s">
        <v>3139</v>
      </c>
      <c r="B2974" s="23">
        <v>37</v>
      </c>
    </row>
    <row r="2975" spans="1:2" x14ac:dyDescent="0.25">
      <c r="A2975" t="s">
        <v>3140</v>
      </c>
      <c r="B2975" s="23">
        <v>36</v>
      </c>
    </row>
    <row r="2976" spans="1:2" x14ac:dyDescent="0.25">
      <c r="A2976" t="s">
        <v>3141</v>
      </c>
      <c r="B2976" s="23">
        <v>36</v>
      </c>
    </row>
    <row r="2977" spans="1:2" x14ac:dyDescent="0.25">
      <c r="A2977" t="s">
        <v>3142</v>
      </c>
      <c r="B2977" s="23">
        <v>36</v>
      </c>
    </row>
    <row r="2978" spans="1:2" x14ac:dyDescent="0.25">
      <c r="A2978" t="s">
        <v>3143</v>
      </c>
      <c r="B2978" s="23">
        <v>36</v>
      </c>
    </row>
    <row r="2979" spans="1:2" x14ac:dyDescent="0.25">
      <c r="A2979" t="s">
        <v>3144</v>
      </c>
      <c r="B2979" s="23">
        <v>36</v>
      </c>
    </row>
    <row r="2980" spans="1:2" x14ac:dyDescent="0.25">
      <c r="A2980" t="s">
        <v>3145</v>
      </c>
      <c r="B2980" s="23">
        <v>35</v>
      </c>
    </row>
    <row r="2981" spans="1:2" x14ac:dyDescent="0.25">
      <c r="A2981" t="s">
        <v>3146</v>
      </c>
      <c r="B2981" s="23">
        <v>35</v>
      </c>
    </row>
    <row r="2982" spans="1:2" x14ac:dyDescent="0.25">
      <c r="A2982" t="s">
        <v>3147</v>
      </c>
      <c r="B2982" s="23">
        <v>35</v>
      </c>
    </row>
    <row r="2983" spans="1:2" x14ac:dyDescent="0.25">
      <c r="A2983" t="s">
        <v>3148</v>
      </c>
      <c r="B2983" s="23">
        <v>35</v>
      </c>
    </row>
    <row r="2984" spans="1:2" x14ac:dyDescent="0.25">
      <c r="A2984" t="s">
        <v>3149</v>
      </c>
      <c r="B2984" s="23">
        <v>35</v>
      </c>
    </row>
    <row r="2985" spans="1:2" x14ac:dyDescent="0.25">
      <c r="A2985" t="s">
        <v>3150</v>
      </c>
      <c r="B2985" s="23">
        <v>34</v>
      </c>
    </row>
    <row r="2986" spans="1:2" x14ac:dyDescent="0.25">
      <c r="A2986" t="s">
        <v>3151</v>
      </c>
      <c r="B2986" s="23">
        <v>34</v>
      </c>
    </row>
    <row r="2987" spans="1:2" x14ac:dyDescent="0.25">
      <c r="A2987" t="s">
        <v>3152</v>
      </c>
      <c r="B2987" s="23">
        <v>34</v>
      </c>
    </row>
    <row r="2988" spans="1:2" x14ac:dyDescent="0.25">
      <c r="A2988" t="s">
        <v>3153</v>
      </c>
      <c r="B2988" s="23">
        <v>34</v>
      </c>
    </row>
    <row r="2989" spans="1:2" x14ac:dyDescent="0.25">
      <c r="A2989" t="s">
        <v>3154</v>
      </c>
      <c r="B2989" s="23">
        <v>34</v>
      </c>
    </row>
    <row r="2990" spans="1:2" x14ac:dyDescent="0.25">
      <c r="A2990" t="s">
        <v>3155</v>
      </c>
      <c r="B2990" s="23">
        <v>33</v>
      </c>
    </row>
    <row r="2991" spans="1:2" x14ac:dyDescent="0.25">
      <c r="A2991" t="s">
        <v>3156</v>
      </c>
      <c r="B2991" s="23">
        <v>33</v>
      </c>
    </row>
    <row r="2992" spans="1:2" x14ac:dyDescent="0.25">
      <c r="A2992" t="s">
        <v>3157</v>
      </c>
      <c r="B2992" s="23">
        <v>33</v>
      </c>
    </row>
    <row r="2993" spans="1:2" x14ac:dyDescent="0.25">
      <c r="A2993" t="s">
        <v>3158</v>
      </c>
      <c r="B2993" s="23">
        <v>33</v>
      </c>
    </row>
    <row r="2994" spans="1:2" x14ac:dyDescent="0.25">
      <c r="A2994" t="s">
        <v>3159</v>
      </c>
      <c r="B2994" s="23">
        <v>33</v>
      </c>
    </row>
    <row r="2995" spans="1:2" x14ac:dyDescent="0.25">
      <c r="A2995" t="s">
        <v>3160</v>
      </c>
      <c r="B2995" s="23">
        <v>32</v>
      </c>
    </row>
    <row r="2996" spans="1:2" x14ac:dyDescent="0.25">
      <c r="A2996" t="s">
        <v>3161</v>
      </c>
      <c r="B2996" s="23">
        <v>32</v>
      </c>
    </row>
    <row r="2997" spans="1:2" x14ac:dyDescent="0.25">
      <c r="A2997" t="s">
        <v>3162</v>
      </c>
      <c r="B2997" s="23">
        <v>32</v>
      </c>
    </row>
    <row r="2998" spans="1:2" x14ac:dyDescent="0.25">
      <c r="A2998" t="s">
        <v>3163</v>
      </c>
      <c r="B2998" s="23">
        <v>32</v>
      </c>
    </row>
    <row r="2999" spans="1:2" x14ac:dyDescent="0.25">
      <c r="A2999" t="s">
        <v>3164</v>
      </c>
      <c r="B2999" s="23">
        <v>32</v>
      </c>
    </row>
    <row r="3000" spans="1:2" x14ac:dyDescent="0.25">
      <c r="A3000" t="s">
        <v>3165</v>
      </c>
      <c r="B3000" s="23">
        <v>31</v>
      </c>
    </row>
    <row r="3001" spans="1:2" x14ac:dyDescent="0.25">
      <c r="A3001" t="s">
        <v>3166</v>
      </c>
      <c r="B3001" s="23">
        <v>31</v>
      </c>
    </row>
    <row r="3002" spans="1:2" x14ac:dyDescent="0.25">
      <c r="A3002" t="s">
        <v>3167</v>
      </c>
      <c r="B3002" s="23">
        <v>31</v>
      </c>
    </row>
    <row r="3003" spans="1:2" x14ac:dyDescent="0.25">
      <c r="A3003" t="s">
        <v>3168</v>
      </c>
      <c r="B3003" s="23">
        <v>31</v>
      </c>
    </row>
    <row r="3004" spans="1:2" x14ac:dyDescent="0.25">
      <c r="A3004" t="s">
        <v>3169</v>
      </c>
      <c r="B3004" s="23">
        <v>31</v>
      </c>
    </row>
    <row r="3005" spans="1:2" x14ac:dyDescent="0.25">
      <c r="A3005" t="s">
        <v>3170</v>
      </c>
      <c r="B3005" s="23">
        <v>30</v>
      </c>
    </row>
    <row r="3006" spans="1:2" x14ac:dyDescent="0.25">
      <c r="A3006" t="s">
        <v>3171</v>
      </c>
      <c r="B3006" s="23">
        <v>30</v>
      </c>
    </row>
    <row r="3007" spans="1:2" x14ac:dyDescent="0.25">
      <c r="A3007" t="s">
        <v>3172</v>
      </c>
      <c r="B3007" s="23">
        <v>30</v>
      </c>
    </row>
    <row r="3008" spans="1:2" x14ac:dyDescent="0.25">
      <c r="A3008" t="s">
        <v>3173</v>
      </c>
      <c r="B3008" s="23">
        <v>30</v>
      </c>
    </row>
    <row r="3009" spans="1:2" x14ac:dyDescent="0.25">
      <c r="A3009" t="s">
        <v>3174</v>
      </c>
      <c r="B3009" s="23">
        <v>30</v>
      </c>
    </row>
    <row r="3010" spans="1:2" x14ac:dyDescent="0.25">
      <c r="A3010" t="s">
        <v>3175</v>
      </c>
      <c r="B3010" s="23">
        <v>29</v>
      </c>
    </row>
    <row r="3011" spans="1:2" x14ac:dyDescent="0.25">
      <c r="A3011" t="s">
        <v>3176</v>
      </c>
      <c r="B3011" s="23">
        <v>29</v>
      </c>
    </row>
    <row r="3012" spans="1:2" x14ac:dyDescent="0.25">
      <c r="A3012" t="s">
        <v>3177</v>
      </c>
      <c r="B3012" s="23">
        <v>29</v>
      </c>
    </row>
    <row r="3013" spans="1:2" x14ac:dyDescent="0.25">
      <c r="A3013" t="s">
        <v>3178</v>
      </c>
      <c r="B3013" s="23">
        <v>29</v>
      </c>
    </row>
    <row r="3014" spans="1:2" x14ac:dyDescent="0.25">
      <c r="A3014" t="s">
        <v>3179</v>
      </c>
      <c r="B3014" s="23">
        <v>29</v>
      </c>
    </row>
    <row r="3015" spans="1:2" x14ac:dyDescent="0.25">
      <c r="A3015" t="s">
        <v>3180</v>
      </c>
      <c r="B3015" s="23">
        <v>28</v>
      </c>
    </row>
    <row r="3016" spans="1:2" x14ac:dyDescent="0.25">
      <c r="A3016" t="s">
        <v>3181</v>
      </c>
      <c r="B3016" s="23">
        <v>28</v>
      </c>
    </row>
    <row r="3017" spans="1:2" x14ac:dyDescent="0.25">
      <c r="A3017" t="s">
        <v>3182</v>
      </c>
      <c r="B3017" s="23">
        <v>28</v>
      </c>
    </row>
    <row r="3018" spans="1:2" x14ac:dyDescent="0.25">
      <c r="A3018" t="s">
        <v>3183</v>
      </c>
      <c r="B3018" s="23">
        <v>28</v>
      </c>
    </row>
    <row r="3019" spans="1:2" x14ac:dyDescent="0.25">
      <c r="A3019" t="s">
        <v>3184</v>
      </c>
      <c r="B3019" s="23">
        <v>28</v>
      </c>
    </row>
    <row r="3020" spans="1:2" x14ac:dyDescent="0.25">
      <c r="A3020" t="s">
        <v>3185</v>
      </c>
      <c r="B3020" s="23">
        <v>27</v>
      </c>
    </row>
    <row r="3021" spans="1:2" x14ac:dyDescent="0.25">
      <c r="A3021" t="s">
        <v>3186</v>
      </c>
      <c r="B3021" s="23">
        <v>27</v>
      </c>
    </row>
    <row r="3022" spans="1:2" x14ac:dyDescent="0.25">
      <c r="A3022" t="s">
        <v>3187</v>
      </c>
      <c r="B3022" s="23">
        <v>27</v>
      </c>
    </row>
    <row r="3023" spans="1:2" x14ac:dyDescent="0.25">
      <c r="A3023" t="s">
        <v>3188</v>
      </c>
      <c r="B3023" s="23">
        <v>27</v>
      </c>
    </row>
    <row r="3024" spans="1:2" x14ac:dyDescent="0.25">
      <c r="A3024" t="s">
        <v>3189</v>
      </c>
      <c r="B3024" s="23">
        <v>27</v>
      </c>
    </row>
    <row r="3025" spans="1:2" x14ac:dyDescent="0.25">
      <c r="A3025" t="s">
        <v>3190</v>
      </c>
      <c r="B3025" s="23">
        <v>26</v>
      </c>
    </row>
    <row r="3026" spans="1:2" x14ac:dyDescent="0.25">
      <c r="A3026" t="s">
        <v>3191</v>
      </c>
      <c r="B3026" s="23">
        <v>26</v>
      </c>
    </row>
    <row r="3027" spans="1:2" x14ac:dyDescent="0.25">
      <c r="A3027" t="s">
        <v>3192</v>
      </c>
      <c r="B3027" s="23">
        <v>26</v>
      </c>
    </row>
    <row r="3028" spans="1:2" x14ac:dyDescent="0.25">
      <c r="A3028" t="s">
        <v>3193</v>
      </c>
      <c r="B3028" s="23">
        <v>26</v>
      </c>
    </row>
    <row r="3029" spans="1:2" x14ac:dyDescent="0.25">
      <c r="A3029" t="s">
        <v>3194</v>
      </c>
      <c r="B3029" s="23">
        <v>26</v>
      </c>
    </row>
    <row r="3030" spans="1:2" x14ac:dyDescent="0.25">
      <c r="A3030" t="s">
        <v>3195</v>
      </c>
      <c r="B3030" s="23">
        <v>25</v>
      </c>
    </row>
    <row r="3031" spans="1:2" x14ac:dyDescent="0.25">
      <c r="A3031" t="s">
        <v>3196</v>
      </c>
      <c r="B3031" s="23">
        <v>25</v>
      </c>
    </row>
    <row r="3032" spans="1:2" x14ac:dyDescent="0.25">
      <c r="A3032" t="s">
        <v>3197</v>
      </c>
      <c r="B3032" s="23">
        <v>25</v>
      </c>
    </row>
    <row r="3033" spans="1:2" x14ac:dyDescent="0.25">
      <c r="A3033" t="s">
        <v>3198</v>
      </c>
      <c r="B3033" s="23">
        <v>25</v>
      </c>
    </row>
    <row r="3034" spans="1:2" x14ac:dyDescent="0.25">
      <c r="A3034" t="s">
        <v>3199</v>
      </c>
      <c r="B3034" s="23">
        <v>25</v>
      </c>
    </row>
    <row r="3035" spans="1:2" x14ac:dyDescent="0.25">
      <c r="A3035" t="s">
        <v>3200</v>
      </c>
      <c r="B3035" s="23">
        <v>25</v>
      </c>
    </row>
    <row r="3036" spans="1:2" x14ac:dyDescent="0.25">
      <c r="A3036" t="s">
        <v>3201</v>
      </c>
      <c r="B3036" s="23">
        <v>25</v>
      </c>
    </row>
    <row r="3037" spans="1:2" x14ac:dyDescent="0.25">
      <c r="A3037" t="s">
        <v>3202</v>
      </c>
      <c r="B3037" s="23">
        <v>25</v>
      </c>
    </row>
    <row r="3038" spans="1:2" x14ac:dyDescent="0.25">
      <c r="A3038" t="s">
        <v>3203</v>
      </c>
      <c r="B3038" s="23">
        <v>25</v>
      </c>
    </row>
    <row r="3039" spans="1:2" x14ac:dyDescent="0.25">
      <c r="A3039" t="s">
        <v>3204</v>
      </c>
      <c r="B3039" s="23">
        <v>25</v>
      </c>
    </row>
    <row r="3040" spans="1:2" x14ac:dyDescent="0.25">
      <c r="A3040" t="s">
        <v>3205</v>
      </c>
      <c r="B3040" s="23">
        <v>24</v>
      </c>
    </row>
    <row r="3041" spans="1:2" x14ac:dyDescent="0.25">
      <c r="A3041" t="s">
        <v>3206</v>
      </c>
      <c r="B3041" s="23">
        <v>24</v>
      </c>
    </row>
    <row r="3042" spans="1:2" x14ac:dyDescent="0.25">
      <c r="A3042" t="s">
        <v>3207</v>
      </c>
      <c r="B3042" s="23">
        <v>24</v>
      </c>
    </row>
    <row r="3043" spans="1:2" x14ac:dyDescent="0.25">
      <c r="A3043" t="s">
        <v>3208</v>
      </c>
      <c r="B3043" s="23">
        <v>24</v>
      </c>
    </row>
    <row r="3044" spans="1:2" x14ac:dyDescent="0.25">
      <c r="A3044" t="s">
        <v>3209</v>
      </c>
      <c r="B3044" s="23">
        <v>24</v>
      </c>
    </row>
    <row r="3045" spans="1:2" x14ac:dyDescent="0.25">
      <c r="A3045" t="s">
        <v>3210</v>
      </c>
      <c r="B3045" s="23">
        <v>24</v>
      </c>
    </row>
    <row r="3046" spans="1:2" x14ac:dyDescent="0.25">
      <c r="A3046" t="s">
        <v>3211</v>
      </c>
      <c r="B3046" s="23">
        <v>24</v>
      </c>
    </row>
    <row r="3047" spans="1:2" x14ac:dyDescent="0.25">
      <c r="A3047" t="s">
        <v>3212</v>
      </c>
      <c r="B3047" s="23">
        <v>24</v>
      </c>
    </row>
    <row r="3048" spans="1:2" x14ac:dyDescent="0.25">
      <c r="A3048" t="s">
        <v>3213</v>
      </c>
      <c r="B3048" s="23">
        <v>24</v>
      </c>
    </row>
    <row r="3049" spans="1:2" x14ac:dyDescent="0.25">
      <c r="A3049" t="s">
        <v>3214</v>
      </c>
      <c r="B3049" s="23">
        <v>24</v>
      </c>
    </row>
    <row r="3050" spans="1:2" x14ac:dyDescent="0.25">
      <c r="A3050" t="s">
        <v>3215</v>
      </c>
      <c r="B3050" s="23">
        <v>23</v>
      </c>
    </row>
    <row r="3051" spans="1:2" x14ac:dyDescent="0.25">
      <c r="A3051" t="s">
        <v>3216</v>
      </c>
      <c r="B3051" s="23">
        <v>23</v>
      </c>
    </row>
    <row r="3052" spans="1:2" x14ac:dyDescent="0.25">
      <c r="A3052" t="s">
        <v>3217</v>
      </c>
      <c r="B3052" s="23">
        <v>23</v>
      </c>
    </row>
    <row r="3053" spans="1:2" x14ac:dyDescent="0.25">
      <c r="A3053" t="s">
        <v>3218</v>
      </c>
      <c r="B3053" s="23">
        <v>23</v>
      </c>
    </row>
    <row r="3054" spans="1:2" x14ac:dyDescent="0.25">
      <c r="A3054" t="s">
        <v>3219</v>
      </c>
      <c r="B3054" s="23">
        <v>23</v>
      </c>
    </row>
    <row r="3055" spans="1:2" x14ac:dyDescent="0.25">
      <c r="A3055" t="s">
        <v>3220</v>
      </c>
      <c r="B3055" s="23">
        <v>23</v>
      </c>
    </row>
    <row r="3056" spans="1:2" x14ac:dyDescent="0.25">
      <c r="A3056" t="s">
        <v>3221</v>
      </c>
      <c r="B3056" s="23">
        <v>23</v>
      </c>
    </row>
    <row r="3057" spans="1:2" x14ac:dyDescent="0.25">
      <c r="A3057" t="s">
        <v>3222</v>
      </c>
      <c r="B3057" s="23">
        <v>23</v>
      </c>
    </row>
    <row r="3058" spans="1:2" x14ac:dyDescent="0.25">
      <c r="A3058" t="s">
        <v>3223</v>
      </c>
      <c r="B3058" s="23">
        <v>23</v>
      </c>
    </row>
    <row r="3059" spans="1:2" x14ac:dyDescent="0.25">
      <c r="A3059" t="s">
        <v>3224</v>
      </c>
      <c r="B3059" s="23">
        <v>23</v>
      </c>
    </row>
    <row r="3060" spans="1:2" x14ac:dyDescent="0.25">
      <c r="A3060" t="s">
        <v>3225</v>
      </c>
      <c r="B3060" s="23">
        <v>22</v>
      </c>
    </row>
    <row r="3061" spans="1:2" x14ac:dyDescent="0.25">
      <c r="A3061" t="s">
        <v>3226</v>
      </c>
      <c r="B3061" s="23">
        <v>22</v>
      </c>
    </row>
    <row r="3062" spans="1:2" x14ac:dyDescent="0.25">
      <c r="A3062" t="s">
        <v>3227</v>
      </c>
      <c r="B3062" s="23">
        <v>22</v>
      </c>
    </row>
    <row r="3063" spans="1:2" x14ac:dyDescent="0.25">
      <c r="A3063" t="s">
        <v>3228</v>
      </c>
      <c r="B3063" s="23">
        <v>22</v>
      </c>
    </row>
    <row r="3064" spans="1:2" x14ac:dyDescent="0.25">
      <c r="A3064" t="s">
        <v>3229</v>
      </c>
      <c r="B3064" s="23">
        <v>22</v>
      </c>
    </row>
    <row r="3065" spans="1:2" x14ac:dyDescent="0.25">
      <c r="A3065" t="s">
        <v>3230</v>
      </c>
      <c r="B3065" s="23">
        <v>22</v>
      </c>
    </row>
    <row r="3066" spans="1:2" x14ac:dyDescent="0.25">
      <c r="A3066" t="s">
        <v>3231</v>
      </c>
      <c r="B3066" s="23">
        <v>22</v>
      </c>
    </row>
    <row r="3067" spans="1:2" x14ac:dyDescent="0.25">
      <c r="A3067" t="s">
        <v>3232</v>
      </c>
      <c r="B3067" s="23">
        <v>22</v>
      </c>
    </row>
    <row r="3068" spans="1:2" x14ac:dyDescent="0.25">
      <c r="A3068" t="s">
        <v>3233</v>
      </c>
      <c r="B3068" s="23">
        <v>22</v>
      </c>
    </row>
    <row r="3069" spans="1:2" x14ac:dyDescent="0.25">
      <c r="A3069" t="s">
        <v>3234</v>
      </c>
      <c r="B3069" s="23">
        <v>22</v>
      </c>
    </row>
    <row r="3070" spans="1:2" x14ac:dyDescent="0.25">
      <c r="A3070" t="s">
        <v>3235</v>
      </c>
      <c r="B3070" s="23">
        <v>21</v>
      </c>
    </row>
    <row r="3071" spans="1:2" x14ac:dyDescent="0.25">
      <c r="A3071" t="s">
        <v>3236</v>
      </c>
      <c r="B3071" s="23">
        <v>21</v>
      </c>
    </row>
    <row r="3072" spans="1:2" x14ac:dyDescent="0.25">
      <c r="A3072" t="s">
        <v>3237</v>
      </c>
      <c r="B3072" s="23">
        <v>21</v>
      </c>
    </row>
    <row r="3073" spans="1:2" x14ac:dyDescent="0.25">
      <c r="A3073" t="s">
        <v>3238</v>
      </c>
      <c r="B3073" s="23">
        <v>21</v>
      </c>
    </row>
    <row r="3074" spans="1:2" x14ac:dyDescent="0.25">
      <c r="A3074" t="s">
        <v>3239</v>
      </c>
      <c r="B3074" s="23">
        <v>21</v>
      </c>
    </row>
    <row r="3075" spans="1:2" x14ac:dyDescent="0.25">
      <c r="A3075" t="s">
        <v>3240</v>
      </c>
      <c r="B3075" s="23">
        <v>21</v>
      </c>
    </row>
    <row r="3076" spans="1:2" x14ac:dyDescent="0.25">
      <c r="A3076" t="s">
        <v>3241</v>
      </c>
      <c r="B3076" s="23">
        <v>21</v>
      </c>
    </row>
    <row r="3077" spans="1:2" x14ac:dyDescent="0.25">
      <c r="A3077" t="s">
        <v>3242</v>
      </c>
      <c r="B3077" s="23">
        <v>21</v>
      </c>
    </row>
    <row r="3078" spans="1:2" x14ac:dyDescent="0.25">
      <c r="A3078" t="s">
        <v>3243</v>
      </c>
      <c r="B3078" s="23">
        <v>21</v>
      </c>
    </row>
    <row r="3079" spans="1:2" x14ac:dyDescent="0.25">
      <c r="A3079" t="s">
        <v>3244</v>
      </c>
      <c r="B3079" s="23">
        <v>21</v>
      </c>
    </row>
    <row r="3080" spans="1:2" x14ac:dyDescent="0.25">
      <c r="A3080" t="s">
        <v>3245</v>
      </c>
      <c r="B3080" s="23">
        <v>20</v>
      </c>
    </row>
    <row r="3081" spans="1:2" x14ac:dyDescent="0.25">
      <c r="A3081" t="s">
        <v>3246</v>
      </c>
      <c r="B3081" s="23">
        <v>20</v>
      </c>
    </row>
    <row r="3082" spans="1:2" x14ac:dyDescent="0.25">
      <c r="A3082" t="s">
        <v>3247</v>
      </c>
      <c r="B3082" s="23">
        <v>20</v>
      </c>
    </row>
    <row r="3083" spans="1:2" x14ac:dyDescent="0.25">
      <c r="A3083" t="s">
        <v>3248</v>
      </c>
      <c r="B3083" s="23">
        <v>20</v>
      </c>
    </row>
    <row r="3084" spans="1:2" x14ac:dyDescent="0.25">
      <c r="A3084" t="s">
        <v>3249</v>
      </c>
      <c r="B3084" s="23">
        <v>20</v>
      </c>
    </row>
    <row r="3085" spans="1:2" x14ac:dyDescent="0.25">
      <c r="A3085" t="s">
        <v>3250</v>
      </c>
      <c r="B3085" s="23">
        <v>20</v>
      </c>
    </row>
    <row r="3086" spans="1:2" x14ac:dyDescent="0.25">
      <c r="A3086" t="s">
        <v>3251</v>
      </c>
      <c r="B3086" s="23">
        <v>20</v>
      </c>
    </row>
    <row r="3087" spans="1:2" x14ac:dyDescent="0.25">
      <c r="A3087" t="s">
        <v>3252</v>
      </c>
      <c r="B3087" s="23">
        <v>20</v>
      </c>
    </row>
    <row r="3088" spans="1:2" x14ac:dyDescent="0.25">
      <c r="A3088" t="s">
        <v>3253</v>
      </c>
      <c r="B3088" s="23">
        <v>20</v>
      </c>
    </row>
    <row r="3089" spans="1:2" x14ac:dyDescent="0.25">
      <c r="A3089" t="s">
        <v>3254</v>
      </c>
      <c r="B3089" s="23">
        <v>20</v>
      </c>
    </row>
    <row r="3090" spans="1:2" x14ac:dyDescent="0.25">
      <c r="A3090" t="s">
        <v>3255</v>
      </c>
      <c r="B3090" s="23">
        <v>19</v>
      </c>
    </row>
    <row r="3091" spans="1:2" x14ac:dyDescent="0.25">
      <c r="A3091" t="s">
        <v>3256</v>
      </c>
      <c r="B3091" s="23">
        <v>19</v>
      </c>
    </row>
    <row r="3092" spans="1:2" x14ac:dyDescent="0.25">
      <c r="A3092" t="s">
        <v>3257</v>
      </c>
      <c r="B3092" s="23">
        <v>19</v>
      </c>
    </row>
    <row r="3093" spans="1:2" x14ac:dyDescent="0.25">
      <c r="A3093" t="s">
        <v>3258</v>
      </c>
      <c r="B3093" s="23">
        <v>19</v>
      </c>
    </row>
    <row r="3094" spans="1:2" x14ac:dyDescent="0.25">
      <c r="A3094" t="s">
        <v>3259</v>
      </c>
      <c r="B3094" s="23">
        <v>19</v>
      </c>
    </row>
    <row r="3095" spans="1:2" x14ac:dyDescent="0.25">
      <c r="A3095" t="s">
        <v>3260</v>
      </c>
      <c r="B3095" s="23">
        <v>19</v>
      </c>
    </row>
    <row r="3096" spans="1:2" x14ac:dyDescent="0.25">
      <c r="A3096" t="s">
        <v>3261</v>
      </c>
      <c r="B3096" s="23">
        <v>19</v>
      </c>
    </row>
    <row r="3097" spans="1:2" x14ac:dyDescent="0.25">
      <c r="A3097" t="s">
        <v>3262</v>
      </c>
      <c r="B3097" s="23">
        <v>19</v>
      </c>
    </row>
    <row r="3098" spans="1:2" x14ac:dyDescent="0.25">
      <c r="A3098" t="s">
        <v>3263</v>
      </c>
      <c r="B3098" s="23">
        <v>19</v>
      </c>
    </row>
    <row r="3099" spans="1:2" x14ac:dyDescent="0.25">
      <c r="A3099" t="s">
        <v>3264</v>
      </c>
      <c r="B3099" s="23">
        <v>19</v>
      </c>
    </row>
    <row r="3100" spans="1:2" x14ac:dyDescent="0.25">
      <c r="A3100" t="s">
        <v>3265</v>
      </c>
      <c r="B3100" s="23">
        <v>18</v>
      </c>
    </row>
    <row r="3101" spans="1:2" x14ac:dyDescent="0.25">
      <c r="A3101" t="s">
        <v>3266</v>
      </c>
      <c r="B3101" s="23">
        <v>18</v>
      </c>
    </row>
    <row r="3102" spans="1:2" x14ac:dyDescent="0.25">
      <c r="A3102" t="s">
        <v>3267</v>
      </c>
      <c r="B3102" s="23">
        <v>18</v>
      </c>
    </row>
    <row r="3103" spans="1:2" x14ac:dyDescent="0.25">
      <c r="A3103" t="s">
        <v>3268</v>
      </c>
      <c r="B3103" s="23">
        <v>18</v>
      </c>
    </row>
    <row r="3104" spans="1:2" x14ac:dyDescent="0.25">
      <c r="A3104" t="s">
        <v>3269</v>
      </c>
      <c r="B3104" s="23">
        <v>18</v>
      </c>
    </row>
    <row r="3105" spans="1:2" x14ac:dyDescent="0.25">
      <c r="A3105" t="s">
        <v>3270</v>
      </c>
      <c r="B3105" s="23">
        <v>18</v>
      </c>
    </row>
    <row r="3106" spans="1:2" x14ac:dyDescent="0.25">
      <c r="A3106" t="s">
        <v>3271</v>
      </c>
      <c r="B3106" s="23">
        <v>18</v>
      </c>
    </row>
    <row r="3107" spans="1:2" x14ac:dyDescent="0.25">
      <c r="A3107" t="s">
        <v>3272</v>
      </c>
      <c r="B3107" s="23">
        <v>18</v>
      </c>
    </row>
    <row r="3108" spans="1:2" x14ac:dyDescent="0.25">
      <c r="A3108" t="s">
        <v>3273</v>
      </c>
      <c r="B3108" s="23">
        <v>18</v>
      </c>
    </row>
    <row r="3109" spans="1:2" x14ac:dyDescent="0.25">
      <c r="A3109" t="s">
        <v>3274</v>
      </c>
      <c r="B3109" s="23">
        <v>18</v>
      </c>
    </row>
    <row r="3110" spans="1:2" x14ac:dyDescent="0.25">
      <c r="A3110" t="s">
        <v>3275</v>
      </c>
      <c r="B3110" s="23">
        <v>17</v>
      </c>
    </row>
    <row r="3111" spans="1:2" x14ac:dyDescent="0.25">
      <c r="A3111" t="s">
        <v>3276</v>
      </c>
      <c r="B3111" s="23">
        <v>17</v>
      </c>
    </row>
    <row r="3112" spans="1:2" x14ac:dyDescent="0.25">
      <c r="A3112" t="s">
        <v>3277</v>
      </c>
      <c r="B3112" s="23">
        <v>17</v>
      </c>
    </row>
    <row r="3113" spans="1:2" x14ac:dyDescent="0.25">
      <c r="A3113" t="s">
        <v>3278</v>
      </c>
      <c r="B3113" s="23">
        <v>17</v>
      </c>
    </row>
    <row r="3114" spans="1:2" x14ac:dyDescent="0.25">
      <c r="A3114" t="s">
        <v>3279</v>
      </c>
      <c r="B3114" s="23">
        <v>17</v>
      </c>
    </row>
    <row r="3115" spans="1:2" x14ac:dyDescent="0.25">
      <c r="A3115" t="s">
        <v>3280</v>
      </c>
      <c r="B3115" s="23">
        <v>17</v>
      </c>
    </row>
    <row r="3116" spans="1:2" x14ac:dyDescent="0.25">
      <c r="A3116" t="s">
        <v>3281</v>
      </c>
      <c r="B3116" s="23">
        <v>17</v>
      </c>
    </row>
    <row r="3117" spans="1:2" x14ac:dyDescent="0.25">
      <c r="A3117" t="s">
        <v>3282</v>
      </c>
      <c r="B3117" s="23">
        <v>17</v>
      </c>
    </row>
    <row r="3118" spans="1:2" x14ac:dyDescent="0.25">
      <c r="A3118" t="s">
        <v>3283</v>
      </c>
      <c r="B3118" s="23">
        <v>17</v>
      </c>
    </row>
    <row r="3119" spans="1:2" x14ac:dyDescent="0.25">
      <c r="A3119" t="s">
        <v>3284</v>
      </c>
      <c r="B3119" s="23">
        <v>17</v>
      </c>
    </row>
    <row r="3120" spans="1:2" x14ac:dyDescent="0.25">
      <c r="A3120" t="s">
        <v>3285</v>
      </c>
      <c r="B3120" s="23">
        <v>16</v>
      </c>
    </row>
    <row r="3121" spans="1:2" x14ac:dyDescent="0.25">
      <c r="A3121" t="s">
        <v>3286</v>
      </c>
      <c r="B3121" s="23">
        <v>16</v>
      </c>
    </row>
    <row r="3122" spans="1:2" x14ac:dyDescent="0.25">
      <c r="A3122" t="s">
        <v>3287</v>
      </c>
      <c r="B3122" s="23">
        <v>16</v>
      </c>
    </row>
    <row r="3123" spans="1:2" x14ac:dyDescent="0.25">
      <c r="A3123" t="s">
        <v>3288</v>
      </c>
      <c r="B3123" s="23">
        <v>16</v>
      </c>
    </row>
    <row r="3124" spans="1:2" x14ac:dyDescent="0.25">
      <c r="A3124" t="s">
        <v>3289</v>
      </c>
      <c r="B3124" s="23">
        <v>16</v>
      </c>
    </row>
    <row r="3125" spans="1:2" x14ac:dyDescent="0.25">
      <c r="A3125" t="s">
        <v>3290</v>
      </c>
      <c r="B3125" s="23">
        <v>16</v>
      </c>
    </row>
    <row r="3126" spans="1:2" x14ac:dyDescent="0.25">
      <c r="A3126" t="s">
        <v>3291</v>
      </c>
      <c r="B3126" s="23">
        <v>16</v>
      </c>
    </row>
    <row r="3127" spans="1:2" x14ac:dyDescent="0.25">
      <c r="A3127" t="s">
        <v>3292</v>
      </c>
      <c r="B3127" s="23">
        <v>16</v>
      </c>
    </row>
    <row r="3128" spans="1:2" x14ac:dyDescent="0.25">
      <c r="A3128" t="s">
        <v>3293</v>
      </c>
      <c r="B3128" s="23">
        <v>16</v>
      </c>
    </row>
    <row r="3129" spans="1:2" x14ac:dyDescent="0.25">
      <c r="A3129" t="s">
        <v>3294</v>
      </c>
      <c r="B3129" s="23">
        <v>16</v>
      </c>
    </row>
    <row r="3130" spans="1:2" x14ac:dyDescent="0.25">
      <c r="A3130" t="s">
        <v>3295</v>
      </c>
      <c r="B3130" s="23">
        <v>15</v>
      </c>
    </row>
    <row r="3131" spans="1:2" x14ac:dyDescent="0.25">
      <c r="A3131" t="s">
        <v>3296</v>
      </c>
      <c r="B3131" s="23">
        <v>15</v>
      </c>
    </row>
    <row r="3132" spans="1:2" x14ac:dyDescent="0.25">
      <c r="A3132" t="s">
        <v>3297</v>
      </c>
      <c r="B3132" s="23">
        <v>15</v>
      </c>
    </row>
    <row r="3133" spans="1:2" x14ac:dyDescent="0.25">
      <c r="A3133" t="s">
        <v>3298</v>
      </c>
      <c r="B3133" s="23">
        <v>15</v>
      </c>
    </row>
    <row r="3134" spans="1:2" x14ac:dyDescent="0.25">
      <c r="A3134" t="s">
        <v>3299</v>
      </c>
      <c r="B3134" s="23">
        <v>15</v>
      </c>
    </row>
    <row r="3135" spans="1:2" x14ac:dyDescent="0.25">
      <c r="A3135" t="s">
        <v>3300</v>
      </c>
      <c r="B3135" s="23">
        <v>15</v>
      </c>
    </row>
    <row r="3136" spans="1:2" x14ac:dyDescent="0.25">
      <c r="A3136" t="s">
        <v>3301</v>
      </c>
      <c r="B3136" s="23">
        <v>15</v>
      </c>
    </row>
    <row r="3137" spans="1:2" x14ac:dyDescent="0.25">
      <c r="A3137" t="s">
        <v>3302</v>
      </c>
      <c r="B3137" s="23">
        <v>15</v>
      </c>
    </row>
    <row r="3138" spans="1:2" x14ac:dyDescent="0.25">
      <c r="A3138" t="s">
        <v>3303</v>
      </c>
      <c r="B3138" s="23">
        <v>15</v>
      </c>
    </row>
    <row r="3139" spans="1:2" x14ac:dyDescent="0.25">
      <c r="A3139" t="s">
        <v>3304</v>
      </c>
      <c r="B3139" s="23">
        <v>15</v>
      </c>
    </row>
    <row r="3140" spans="1:2" x14ac:dyDescent="0.25">
      <c r="A3140" t="s">
        <v>3305</v>
      </c>
      <c r="B3140" s="23">
        <v>14</v>
      </c>
    </row>
    <row r="3141" spans="1:2" x14ac:dyDescent="0.25">
      <c r="A3141" t="s">
        <v>3306</v>
      </c>
      <c r="B3141" s="23">
        <v>14</v>
      </c>
    </row>
    <row r="3142" spans="1:2" x14ac:dyDescent="0.25">
      <c r="A3142" t="s">
        <v>3307</v>
      </c>
      <c r="B3142" s="23">
        <v>14</v>
      </c>
    </row>
    <row r="3143" spans="1:2" x14ac:dyDescent="0.25">
      <c r="A3143" t="s">
        <v>3308</v>
      </c>
      <c r="B3143" s="23">
        <v>14</v>
      </c>
    </row>
    <row r="3144" spans="1:2" x14ac:dyDescent="0.25">
      <c r="A3144" t="s">
        <v>3309</v>
      </c>
      <c r="B3144" s="23">
        <v>14</v>
      </c>
    </row>
    <row r="3145" spans="1:2" x14ac:dyDescent="0.25">
      <c r="A3145" t="s">
        <v>3310</v>
      </c>
      <c r="B3145" s="23">
        <v>14</v>
      </c>
    </row>
    <row r="3146" spans="1:2" x14ac:dyDescent="0.25">
      <c r="A3146" t="s">
        <v>3311</v>
      </c>
      <c r="B3146" s="23">
        <v>14</v>
      </c>
    </row>
    <row r="3147" spans="1:2" x14ac:dyDescent="0.25">
      <c r="A3147" t="s">
        <v>3312</v>
      </c>
      <c r="B3147" s="23">
        <v>14</v>
      </c>
    </row>
    <row r="3148" spans="1:2" x14ac:dyDescent="0.25">
      <c r="A3148" t="s">
        <v>3313</v>
      </c>
      <c r="B3148" s="23">
        <v>14</v>
      </c>
    </row>
    <row r="3149" spans="1:2" x14ac:dyDescent="0.25">
      <c r="A3149" t="s">
        <v>3314</v>
      </c>
      <c r="B3149" s="23">
        <v>14</v>
      </c>
    </row>
    <row r="3150" spans="1:2" x14ac:dyDescent="0.25">
      <c r="A3150" t="s">
        <v>3315</v>
      </c>
      <c r="B3150" s="23">
        <v>13</v>
      </c>
    </row>
    <row r="3151" spans="1:2" x14ac:dyDescent="0.25">
      <c r="A3151" t="s">
        <v>3316</v>
      </c>
      <c r="B3151" s="23">
        <v>13</v>
      </c>
    </row>
    <row r="3152" spans="1:2" x14ac:dyDescent="0.25">
      <c r="A3152" t="s">
        <v>3317</v>
      </c>
      <c r="B3152" s="23">
        <v>13</v>
      </c>
    </row>
    <row r="3153" spans="1:2" x14ac:dyDescent="0.25">
      <c r="A3153" t="s">
        <v>3318</v>
      </c>
      <c r="B3153" s="23">
        <v>13</v>
      </c>
    </row>
    <row r="3154" spans="1:2" x14ac:dyDescent="0.25">
      <c r="A3154" t="s">
        <v>3319</v>
      </c>
      <c r="B3154" s="23">
        <v>13</v>
      </c>
    </row>
    <row r="3155" spans="1:2" x14ac:dyDescent="0.25">
      <c r="A3155" t="s">
        <v>3320</v>
      </c>
      <c r="B3155" s="23">
        <v>13</v>
      </c>
    </row>
    <row r="3156" spans="1:2" x14ac:dyDescent="0.25">
      <c r="A3156" t="s">
        <v>3321</v>
      </c>
      <c r="B3156" s="23">
        <v>13</v>
      </c>
    </row>
    <row r="3157" spans="1:2" x14ac:dyDescent="0.25">
      <c r="A3157" t="s">
        <v>3322</v>
      </c>
      <c r="B3157" s="23">
        <v>13</v>
      </c>
    </row>
    <row r="3158" spans="1:2" x14ac:dyDescent="0.25">
      <c r="A3158" t="s">
        <v>3323</v>
      </c>
      <c r="B3158" s="23">
        <v>13</v>
      </c>
    </row>
    <row r="3159" spans="1:2" x14ac:dyDescent="0.25">
      <c r="A3159" t="s">
        <v>3324</v>
      </c>
      <c r="B3159" s="23">
        <v>13</v>
      </c>
    </row>
    <row r="3160" spans="1:2" x14ac:dyDescent="0.25">
      <c r="A3160" t="s">
        <v>3325</v>
      </c>
      <c r="B3160" s="23">
        <v>12</v>
      </c>
    </row>
    <row r="3161" spans="1:2" x14ac:dyDescent="0.25">
      <c r="A3161" t="s">
        <v>3326</v>
      </c>
      <c r="B3161" s="23">
        <v>12</v>
      </c>
    </row>
    <row r="3162" spans="1:2" x14ac:dyDescent="0.25">
      <c r="A3162" t="s">
        <v>3327</v>
      </c>
      <c r="B3162" s="23">
        <v>12</v>
      </c>
    </row>
    <row r="3163" spans="1:2" x14ac:dyDescent="0.25">
      <c r="A3163" t="s">
        <v>3328</v>
      </c>
      <c r="B3163" s="23">
        <v>12</v>
      </c>
    </row>
    <row r="3164" spans="1:2" x14ac:dyDescent="0.25">
      <c r="A3164" t="s">
        <v>3329</v>
      </c>
      <c r="B3164" s="23">
        <v>12</v>
      </c>
    </row>
    <row r="3165" spans="1:2" x14ac:dyDescent="0.25">
      <c r="A3165" t="s">
        <v>3330</v>
      </c>
      <c r="B3165" s="23">
        <v>12</v>
      </c>
    </row>
    <row r="3166" spans="1:2" x14ac:dyDescent="0.25">
      <c r="A3166" t="s">
        <v>3331</v>
      </c>
      <c r="B3166" s="23">
        <v>12</v>
      </c>
    </row>
    <row r="3167" spans="1:2" x14ac:dyDescent="0.25">
      <c r="A3167" t="s">
        <v>3332</v>
      </c>
      <c r="B3167" s="23">
        <v>12</v>
      </c>
    </row>
    <row r="3168" spans="1:2" x14ac:dyDescent="0.25">
      <c r="A3168" t="s">
        <v>3333</v>
      </c>
      <c r="B3168" s="23">
        <v>12</v>
      </c>
    </row>
    <row r="3169" spans="1:2" x14ac:dyDescent="0.25">
      <c r="A3169" t="s">
        <v>3334</v>
      </c>
      <c r="B3169" s="23">
        <v>12</v>
      </c>
    </row>
    <row r="3170" spans="1:2" x14ac:dyDescent="0.25">
      <c r="A3170" t="s">
        <v>3335</v>
      </c>
      <c r="B3170" s="23">
        <v>11</v>
      </c>
    </row>
    <row r="3171" spans="1:2" x14ac:dyDescent="0.25">
      <c r="A3171" t="s">
        <v>3336</v>
      </c>
      <c r="B3171" s="23">
        <v>11</v>
      </c>
    </row>
    <row r="3172" spans="1:2" x14ac:dyDescent="0.25">
      <c r="A3172" t="s">
        <v>3337</v>
      </c>
      <c r="B3172" s="23">
        <v>11</v>
      </c>
    </row>
    <row r="3173" spans="1:2" x14ac:dyDescent="0.25">
      <c r="A3173" t="s">
        <v>3338</v>
      </c>
      <c r="B3173" s="23">
        <v>11</v>
      </c>
    </row>
    <row r="3174" spans="1:2" x14ac:dyDescent="0.25">
      <c r="A3174" t="s">
        <v>3339</v>
      </c>
      <c r="B3174" s="23">
        <v>11</v>
      </c>
    </row>
    <row r="3175" spans="1:2" x14ac:dyDescent="0.25">
      <c r="A3175" t="s">
        <v>3340</v>
      </c>
      <c r="B3175" s="23">
        <v>11</v>
      </c>
    </row>
    <row r="3176" spans="1:2" x14ac:dyDescent="0.25">
      <c r="A3176" t="s">
        <v>3341</v>
      </c>
      <c r="B3176" s="23">
        <v>11</v>
      </c>
    </row>
    <row r="3177" spans="1:2" x14ac:dyDescent="0.25">
      <c r="A3177" t="s">
        <v>3342</v>
      </c>
      <c r="B3177" s="23">
        <v>11</v>
      </c>
    </row>
    <row r="3178" spans="1:2" x14ac:dyDescent="0.25">
      <c r="A3178" t="s">
        <v>3343</v>
      </c>
      <c r="B3178" s="23">
        <v>11</v>
      </c>
    </row>
    <row r="3179" spans="1:2" x14ac:dyDescent="0.25">
      <c r="A3179" t="s">
        <v>3344</v>
      </c>
      <c r="B3179" s="23">
        <v>11</v>
      </c>
    </row>
    <row r="3180" spans="1:2" x14ac:dyDescent="0.25">
      <c r="A3180" t="s">
        <v>3345</v>
      </c>
      <c r="B3180" s="23">
        <v>10</v>
      </c>
    </row>
    <row r="3181" spans="1:2" x14ac:dyDescent="0.25">
      <c r="A3181" t="s">
        <v>3346</v>
      </c>
      <c r="B3181" s="23">
        <v>10</v>
      </c>
    </row>
    <row r="3182" spans="1:2" x14ac:dyDescent="0.25">
      <c r="A3182" t="s">
        <v>3347</v>
      </c>
      <c r="B3182" s="23">
        <v>10</v>
      </c>
    </row>
    <row r="3183" spans="1:2" x14ac:dyDescent="0.25">
      <c r="A3183" t="s">
        <v>3348</v>
      </c>
      <c r="B3183" s="23">
        <v>10</v>
      </c>
    </row>
    <row r="3184" spans="1:2" x14ac:dyDescent="0.25">
      <c r="A3184" t="s">
        <v>3349</v>
      </c>
      <c r="B3184" s="23">
        <v>10</v>
      </c>
    </row>
    <row r="3185" spans="1:2" x14ac:dyDescent="0.25">
      <c r="A3185" t="s">
        <v>3350</v>
      </c>
      <c r="B3185" s="23">
        <v>10</v>
      </c>
    </row>
    <row r="3186" spans="1:2" x14ac:dyDescent="0.25">
      <c r="A3186" t="s">
        <v>3351</v>
      </c>
      <c r="B3186" s="23">
        <v>10</v>
      </c>
    </row>
    <row r="3187" spans="1:2" x14ac:dyDescent="0.25">
      <c r="A3187" t="s">
        <v>3352</v>
      </c>
      <c r="B3187" s="23">
        <v>10</v>
      </c>
    </row>
    <row r="3188" spans="1:2" x14ac:dyDescent="0.25">
      <c r="A3188" t="s">
        <v>3353</v>
      </c>
      <c r="B3188" s="23">
        <v>10</v>
      </c>
    </row>
    <row r="3189" spans="1:2" x14ac:dyDescent="0.25">
      <c r="A3189" t="s">
        <v>3354</v>
      </c>
      <c r="B3189" s="23">
        <v>10</v>
      </c>
    </row>
    <row r="3190" spans="1:2" x14ac:dyDescent="0.25">
      <c r="A3190" t="s">
        <v>3355</v>
      </c>
      <c r="B3190" s="23">
        <v>9</v>
      </c>
    </row>
    <row r="3191" spans="1:2" x14ac:dyDescent="0.25">
      <c r="A3191" t="s">
        <v>3356</v>
      </c>
      <c r="B3191" s="23">
        <v>9</v>
      </c>
    </row>
    <row r="3192" spans="1:2" x14ac:dyDescent="0.25">
      <c r="A3192" t="s">
        <v>3357</v>
      </c>
      <c r="B3192" s="23">
        <v>9</v>
      </c>
    </row>
    <row r="3193" spans="1:2" x14ac:dyDescent="0.25">
      <c r="A3193" t="s">
        <v>3358</v>
      </c>
      <c r="B3193" s="23">
        <v>9</v>
      </c>
    </row>
    <row r="3194" spans="1:2" x14ac:dyDescent="0.25">
      <c r="A3194" t="s">
        <v>3359</v>
      </c>
      <c r="B3194" s="23">
        <v>9</v>
      </c>
    </row>
    <row r="3195" spans="1:2" x14ac:dyDescent="0.25">
      <c r="A3195" t="s">
        <v>3360</v>
      </c>
      <c r="B3195" s="23">
        <v>9</v>
      </c>
    </row>
    <row r="3196" spans="1:2" x14ac:dyDescent="0.25">
      <c r="A3196" t="s">
        <v>3361</v>
      </c>
      <c r="B3196" s="23">
        <v>9</v>
      </c>
    </row>
    <row r="3197" spans="1:2" x14ac:dyDescent="0.25">
      <c r="A3197" t="s">
        <v>3362</v>
      </c>
      <c r="B3197" s="23">
        <v>9</v>
      </c>
    </row>
    <row r="3198" spans="1:2" x14ac:dyDescent="0.25">
      <c r="A3198" t="s">
        <v>3363</v>
      </c>
      <c r="B3198" s="23">
        <v>9</v>
      </c>
    </row>
    <row r="3199" spans="1:2" x14ac:dyDescent="0.25">
      <c r="A3199" t="s">
        <v>3364</v>
      </c>
      <c r="B3199" s="23">
        <v>9</v>
      </c>
    </row>
    <row r="3200" spans="1:2" x14ac:dyDescent="0.25">
      <c r="A3200" t="s">
        <v>3365</v>
      </c>
      <c r="B3200" s="23">
        <v>8</v>
      </c>
    </row>
    <row r="3201" spans="1:2" x14ac:dyDescent="0.25">
      <c r="A3201" t="s">
        <v>3366</v>
      </c>
      <c r="B3201" s="23">
        <v>8</v>
      </c>
    </row>
    <row r="3202" spans="1:2" x14ac:dyDescent="0.25">
      <c r="A3202" t="s">
        <v>3367</v>
      </c>
      <c r="B3202" s="23">
        <v>8</v>
      </c>
    </row>
    <row r="3203" spans="1:2" x14ac:dyDescent="0.25">
      <c r="A3203" t="s">
        <v>3368</v>
      </c>
      <c r="B3203" s="23">
        <v>8</v>
      </c>
    </row>
    <row r="3204" spans="1:2" x14ac:dyDescent="0.25">
      <c r="A3204" t="s">
        <v>3369</v>
      </c>
      <c r="B3204" s="23">
        <v>8</v>
      </c>
    </row>
    <row r="3205" spans="1:2" x14ac:dyDescent="0.25">
      <c r="A3205" t="s">
        <v>3370</v>
      </c>
      <c r="B3205" s="23">
        <v>8</v>
      </c>
    </row>
    <row r="3206" spans="1:2" x14ac:dyDescent="0.25">
      <c r="A3206" t="s">
        <v>3371</v>
      </c>
      <c r="B3206" s="23">
        <v>8</v>
      </c>
    </row>
    <row r="3207" spans="1:2" x14ac:dyDescent="0.25">
      <c r="A3207" t="s">
        <v>3372</v>
      </c>
      <c r="B3207" s="23">
        <v>8</v>
      </c>
    </row>
    <row r="3208" spans="1:2" x14ac:dyDescent="0.25">
      <c r="A3208" t="s">
        <v>3373</v>
      </c>
      <c r="B3208" s="23">
        <v>8</v>
      </c>
    </row>
    <row r="3209" spans="1:2" x14ac:dyDescent="0.25">
      <c r="A3209" t="s">
        <v>3374</v>
      </c>
      <c r="B3209" s="23">
        <v>8</v>
      </c>
    </row>
    <row r="3210" spans="1:2" x14ac:dyDescent="0.25">
      <c r="A3210" t="s">
        <v>3375</v>
      </c>
      <c r="B3210" s="23">
        <v>7</v>
      </c>
    </row>
    <row r="3211" spans="1:2" x14ac:dyDescent="0.25">
      <c r="A3211" t="s">
        <v>3376</v>
      </c>
      <c r="B3211" s="23">
        <v>7</v>
      </c>
    </row>
    <row r="3212" spans="1:2" x14ac:dyDescent="0.25">
      <c r="A3212" t="s">
        <v>3377</v>
      </c>
      <c r="B3212" s="23">
        <v>7</v>
      </c>
    </row>
    <row r="3213" spans="1:2" x14ac:dyDescent="0.25">
      <c r="A3213" t="s">
        <v>3378</v>
      </c>
      <c r="B3213" s="23">
        <v>7</v>
      </c>
    </row>
    <row r="3214" spans="1:2" x14ac:dyDescent="0.25">
      <c r="A3214" t="s">
        <v>3379</v>
      </c>
      <c r="B3214" s="23">
        <v>7</v>
      </c>
    </row>
    <row r="3215" spans="1:2" x14ac:dyDescent="0.25">
      <c r="A3215" t="s">
        <v>3380</v>
      </c>
      <c r="B3215" s="23">
        <v>7</v>
      </c>
    </row>
    <row r="3216" spans="1:2" x14ac:dyDescent="0.25">
      <c r="A3216" t="s">
        <v>3381</v>
      </c>
      <c r="B3216" s="23">
        <v>7</v>
      </c>
    </row>
    <row r="3217" spans="1:2" x14ac:dyDescent="0.25">
      <c r="A3217" t="s">
        <v>3382</v>
      </c>
      <c r="B3217" s="23">
        <v>7</v>
      </c>
    </row>
    <row r="3218" spans="1:2" x14ac:dyDescent="0.25">
      <c r="A3218" t="s">
        <v>3383</v>
      </c>
      <c r="B3218" s="23">
        <v>7</v>
      </c>
    </row>
    <row r="3219" spans="1:2" x14ac:dyDescent="0.25">
      <c r="A3219" t="s">
        <v>3384</v>
      </c>
      <c r="B3219" s="23">
        <v>7</v>
      </c>
    </row>
    <row r="3220" spans="1:2" x14ac:dyDescent="0.25">
      <c r="A3220" t="s">
        <v>3385</v>
      </c>
      <c r="B3220" s="23">
        <v>6</v>
      </c>
    </row>
    <row r="3221" spans="1:2" x14ac:dyDescent="0.25">
      <c r="A3221" t="s">
        <v>3386</v>
      </c>
      <c r="B3221" s="23">
        <v>6</v>
      </c>
    </row>
    <row r="3222" spans="1:2" x14ac:dyDescent="0.25">
      <c r="A3222" t="s">
        <v>3387</v>
      </c>
      <c r="B3222" s="23">
        <v>6</v>
      </c>
    </row>
    <row r="3223" spans="1:2" x14ac:dyDescent="0.25">
      <c r="A3223" t="s">
        <v>3388</v>
      </c>
      <c r="B3223" s="23">
        <v>6</v>
      </c>
    </row>
    <row r="3224" spans="1:2" x14ac:dyDescent="0.25">
      <c r="A3224" t="s">
        <v>3389</v>
      </c>
      <c r="B3224" s="23">
        <v>6</v>
      </c>
    </row>
    <row r="3225" spans="1:2" x14ac:dyDescent="0.25">
      <c r="A3225" t="s">
        <v>3390</v>
      </c>
      <c r="B3225" s="23">
        <v>6</v>
      </c>
    </row>
    <row r="3226" spans="1:2" x14ac:dyDescent="0.25">
      <c r="A3226" t="s">
        <v>3391</v>
      </c>
      <c r="B3226" s="23">
        <v>6</v>
      </c>
    </row>
    <row r="3227" spans="1:2" x14ac:dyDescent="0.25">
      <c r="A3227" t="s">
        <v>3392</v>
      </c>
      <c r="B3227" s="23">
        <v>6</v>
      </c>
    </row>
    <row r="3228" spans="1:2" x14ac:dyDescent="0.25">
      <c r="A3228" t="s">
        <v>3393</v>
      </c>
      <c r="B3228" s="23">
        <v>6</v>
      </c>
    </row>
    <row r="3229" spans="1:2" x14ac:dyDescent="0.25">
      <c r="A3229" t="s">
        <v>3394</v>
      </c>
      <c r="B3229" s="23">
        <v>6</v>
      </c>
    </row>
    <row r="3230" spans="1:2" x14ac:dyDescent="0.25">
      <c r="A3230" t="s">
        <v>3395</v>
      </c>
      <c r="B3230" s="23">
        <v>5</v>
      </c>
    </row>
    <row r="3231" spans="1:2" x14ac:dyDescent="0.25">
      <c r="A3231" t="s">
        <v>3396</v>
      </c>
      <c r="B3231" s="23">
        <v>5</v>
      </c>
    </row>
    <row r="3232" spans="1:2" x14ac:dyDescent="0.25">
      <c r="A3232" t="s">
        <v>3397</v>
      </c>
      <c r="B3232" s="23">
        <v>5</v>
      </c>
    </row>
    <row r="3233" spans="1:2" x14ac:dyDescent="0.25">
      <c r="A3233" t="s">
        <v>3398</v>
      </c>
      <c r="B3233" s="23">
        <v>5</v>
      </c>
    </row>
    <row r="3234" spans="1:2" x14ac:dyDescent="0.25">
      <c r="A3234" t="s">
        <v>3399</v>
      </c>
      <c r="B3234" s="23">
        <v>5</v>
      </c>
    </row>
    <row r="3235" spans="1:2" x14ac:dyDescent="0.25">
      <c r="A3235" t="s">
        <v>3400</v>
      </c>
      <c r="B3235" s="23">
        <v>5</v>
      </c>
    </row>
    <row r="3236" spans="1:2" x14ac:dyDescent="0.25">
      <c r="A3236" t="s">
        <v>3401</v>
      </c>
      <c r="B3236" s="23">
        <v>5</v>
      </c>
    </row>
    <row r="3237" spans="1:2" x14ac:dyDescent="0.25">
      <c r="A3237" t="s">
        <v>3402</v>
      </c>
      <c r="B3237" s="23">
        <v>5</v>
      </c>
    </row>
    <row r="3238" spans="1:2" x14ac:dyDescent="0.25">
      <c r="A3238" t="s">
        <v>3403</v>
      </c>
      <c r="B3238" s="23">
        <v>5</v>
      </c>
    </row>
    <row r="3239" spans="1:2" x14ac:dyDescent="0.25">
      <c r="A3239" t="s">
        <v>3404</v>
      </c>
      <c r="B3239" s="23">
        <v>5</v>
      </c>
    </row>
    <row r="3240" spans="1:2" x14ac:dyDescent="0.25">
      <c r="A3240" t="s">
        <v>3405</v>
      </c>
      <c r="B3240" s="23">
        <v>4</v>
      </c>
    </row>
    <row r="3241" spans="1:2" x14ac:dyDescent="0.25">
      <c r="A3241" t="s">
        <v>3406</v>
      </c>
      <c r="B3241" s="23">
        <v>4</v>
      </c>
    </row>
    <row r="3242" spans="1:2" x14ac:dyDescent="0.25">
      <c r="A3242" t="s">
        <v>3407</v>
      </c>
      <c r="B3242" s="23">
        <v>4</v>
      </c>
    </row>
    <row r="3243" spans="1:2" x14ac:dyDescent="0.25">
      <c r="A3243" t="s">
        <v>3408</v>
      </c>
      <c r="B3243" s="23">
        <v>4</v>
      </c>
    </row>
    <row r="3244" spans="1:2" x14ac:dyDescent="0.25">
      <c r="A3244" t="s">
        <v>3409</v>
      </c>
      <c r="B3244" s="23">
        <v>4</v>
      </c>
    </row>
    <row r="3245" spans="1:2" x14ac:dyDescent="0.25">
      <c r="A3245" t="s">
        <v>3410</v>
      </c>
      <c r="B3245" s="23">
        <v>4</v>
      </c>
    </row>
    <row r="3246" spans="1:2" x14ac:dyDescent="0.25">
      <c r="A3246" t="s">
        <v>3411</v>
      </c>
      <c r="B3246" s="23">
        <v>4</v>
      </c>
    </row>
    <row r="3247" spans="1:2" x14ac:dyDescent="0.25">
      <c r="A3247" t="s">
        <v>3412</v>
      </c>
      <c r="B3247" s="23">
        <v>4</v>
      </c>
    </row>
    <row r="3248" spans="1:2" x14ac:dyDescent="0.25">
      <c r="A3248" t="s">
        <v>3413</v>
      </c>
      <c r="B3248" s="23">
        <v>4</v>
      </c>
    </row>
    <row r="3249" spans="1:2" x14ac:dyDescent="0.25">
      <c r="A3249" t="s">
        <v>3414</v>
      </c>
      <c r="B3249" s="23">
        <v>4</v>
      </c>
    </row>
    <row r="3250" spans="1:2" x14ac:dyDescent="0.25">
      <c r="A3250" t="s">
        <v>3415</v>
      </c>
      <c r="B3250" s="23">
        <v>4</v>
      </c>
    </row>
    <row r="3251" spans="1:2" x14ac:dyDescent="0.25">
      <c r="A3251" t="s">
        <v>3416</v>
      </c>
      <c r="B3251" s="23">
        <v>4</v>
      </c>
    </row>
    <row r="3252" spans="1:2" x14ac:dyDescent="0.25">
      <c r="A3252" t="s">
        <v>3417</v>
      </c>
      <c r="B3252" s="23">
        <v>4</v>
      </c>
    </row>
    <row r="3253" spans="1:2" x14ac:dyDescent="0.25">
      <c r="A3253" t="s">
        <v>3418</v>
      </c>
      <c r="B3253" s="23">
        <v>4</v>
      </c>
    </row>
    <row r="3254" spans="1:2" x14ac:dyDescent="0.25">
      <c r="A3254" t="s">
        <v>3419</v>
      </c>
      <c r="B3254" s="23">
        <v>4</v>
      </c>
    </row>
    <row r="3255" spans="1:2" x14ac:dyDescent="0.25">
      <c r="A3255" t="s">
        <v>3420</v>
      </c>
      <c r="B3255" s="23">
        <v>4</v>
      </c>
    </row>
    <row r="3256" spans="1:2" x14ac:dyDescent="0.25">
      <c r="A3256" t="s">
        <v>3421</v>
      </c>
      <c r="B3256" s="23">
        <v>4</v>
      </c>
    </row>
    <row r="3257" spans="1:2" x14ac:dyDescent="0.25">
      <c r="A3257" t="s">
        <v>3422</v>
      </c>
      <c r="B3257" s="23">
        <v>4</v>
      </c>
    </row>
    <row r="3258" spans="1:2" x14ac:dyDescent="0.25">
      <c r="A3258" t="s">
        <v>3423</v>
      </c>
      <c r="B3258" s="23">
        <v>4</v>
      </c>
    </row>
    <row r="3259" spans="1:2" x14ac:dyDescent="0.25">
      <c r="A3259" t="s">
        <v>3424</v>
      </c>
      <c r="B3259" s="23">
        <v>4</v>
      </c>
    </row>
    <row r="3260" spans="1:2" x14ac:dyDescent="0.25">
      <c r="A3260" t="s">
        <v>3425</v>
      </c>
      <c r="B3260" s="23">
        <v>3</v>
      </c>
    </row>
    <row r="3261" spans="1:2" x14ac:dyDescent="0.25">
      <c r="A3261" t="s">
        <v>3426</v>
      </c>
      <c r="B3261" s="23">
        <v>3</v>
      </c>
    </row>
    <row r="3262" spans="1:2" x14ac:dyDescent="0.25">
      <c r="A3262" t="s">
        <v>3427</v>
      </c>
      <c r="B3262" s="23">
        <v>3</v>
      </c>
    </row>
    <row r="3263" spans="1:2" x14ac:dyDescent="0.25">
      <c r="A3263" t="s">
        <v>3428</v>
      </c>
      <c r="B3263" s="23">
        <v>3</v>
      </c>
    </row>
    <row r="3264" spans="1:2" x14ac:dyDescent="0.25">
      <c r="A3264" t="s">
        <v>3429</v>
      </c>
      <c r="B3264" s="23">
        <v>3</v>
      </c>
    </row>
    <row r="3265" spans="1:2" x14ac:dyDescent="0.25">
      <c r="A3265" t="s">
        <v>3430</v>
      </c>
      <c r="B3265" s="23">
        <v>3</v>
      </c>
    </row>
    <row r="3266" spans="1:2" x14ac:dyDescent="0.25">
      <c r="A3266" t="s">
        <v>3431</v>
      </c>
      <c r="B3266" s="23">
        <v>3</v>
      </c>
    </row>
    <row r="3267" spans="1:2" x14ac:dyDescent="0.25">
      <c r="A3267" t="s">
        <v>3432</v>
      </c>
      <c r="B3267" s="23">
        <v>3</v>
      </c>
    </row>
    <row r="3268" spans="1:2" x14ac:dyDescent="0.25">
      <c r="A3268" t="s">
        <v>3433</v>
      </c>
      <c r="B3268" s="23">
        <v>3</v>
      </c>
    </row>
    <row r="3269" spans="1:2" x14ac:dyDescent="0.25">
      <c r="A3269" t="s">
        <v>3434</v>
      </c>
      <c r="B3269" s="23">
        <v>3</v>
      </c>
    </row>
    <row r="3270" spans="1:2" x14ac:dyDescent="0.25">
      <c r="A3270" t="s">
        <v>3435</v>
      </c>
      <c r="B3270" s="23">
        <v>3</v>
      </c>
    </row>
    <row r="3271" spans="1:2" x14ac:dyDescent="0.25">
      <c r="A3271" t="s">
        <v>3436</v>
      </c>
      <c r="B3271" s="23">
        <v>3</v>
      </c>
    </row>
    <row r="3272" spans="1:2" x14ac:dyDescent="0.25">
      <c r="A3272" t="s">
        <v>3437</v>
      </c>
      <c r="B3272" s="23">
        <v>3</v>
      </c>
    </row>
    <row r="3273" spans="1:2" x14ac:dyDescent="0.25">
      <c r="A3273" t="s">
        <v>3438</v>
      </c>
      <c r="B3273" s="23">
        <v>3</v>
      </c>
    </row>
    <row r="3274" spans="1:2" x14ac:dyDescent="0.25">
      <c r="A3274" t="s">
        <v>3439</v>
      </c>
      <c r="B3274" s="23">
        <v>3</v>
      </c>
    </row>
    <row r="3275" spans="1:2" x14ac:dyDescent="0.25">
      <c r="A3275" t="s">
        <v>3440</v>
      </c>
      <c r="B3275" s="23">
        <v>3</v>
      </c>
    </row>
    <row r="3276" spans="1:2" x14ac:dyDescent="0.25">
      <c r="A3276" t="s">
        <v>3441</v>
      </c>
      <c r="B3276" s="23">
        <v>3</v>
      </c>
    </row>
    <row r="3277" spans="1:2" x14ac:dyDescent="0.25">
      <c r="A3277" t="s">
        <v>3442</v>
      </c>
      <c r="B3277" s="23">
        <v>3</v>
      </c>
    </row>
    <row r="3278" spans="1:2" x14ac:dyDescent="0.25">
      <c r="A3278" t="s">
        <v>3443</v>
      </c>
      <c r="B3278" s="23">
        <v>3</v>
      </c>
    </row>
    <row r="3279" spans="1:2" x14ac:dyDescent="0.25">
      <c r="A3279" t="s">
        <v>3444</v>
      </c>
      <c r="B3279" s="23">
        <v>3</v>
      </c>
    </row>
    <row r="3280" spans="1:2" x14ac:dyDescent="0.25">
      <c r="A3280" t="s">
        <v>3445</v>
      </c>
      <c r="B3280" s="23">
        <v>2</v>
      </c>
    </row>
    <row r="3281" spans="1:2" x14ac:dyDescent="0.25">
      <c r="A3281" t="s">
        <v>3446</v>
      </c>
      <c r="B3281" s="23">
        <v>2</v>
      </c>
    </row>
    <row r="3282" spans="1:2" x14ac:dyDescent="0.25">
      <c r="A3282" t="s">
        <v>3447</v>
      </c>
      <c r="B3282" s="23">
        <v>2</v>
      </c>
    </row>
    <row r="3283" spans="1:2" x14ac:dyDescent="0.25">
      <c r="A3283" t="s">
        <v>3448</v>
      </c>
      <c r="B3283" s="23">
        <v>2</v>
      </c>
    </row>
    <row r="3284" spans="1:2" x14ac:dyDescent="0.25">
      <c r="A3284" t="s">
        <v>3449</v>
      </c>
      <c r="B3284" s="23">
        <v>2</v>
      </c>
    </row>
    <row r="3285" spans="1:2" x14ac:dyDescent="0.25">
      <c r="A3285" t="s">
        <v>3450</v>
      </c>
      <c r="B3285" s="23">
        <v>2</v>
      </c>
    </row>
    <row r="3286" spans="1:2" x14ac:dyDescent="0.25">
      <c r="A3286" t="s">
        <v>3451</v>
      </c>
      <c r="B3286" s="23">
        <v>2</v>
      </c>
    </row>
    <row r="3287" spans="1:2" x14ac:dyDescent="0.25">
      <c r="A3287" t="s">
        <v>3452</v>
      </c>
      <c r="B3287" s="23">
        <v>2</v>
      </c>
    </row>
    <row r="3288" spans="1:2" x14ac:dyDescent="0.25">
      <c r="A3288" t="s">
        <v>3453</v>
      </c>
      <c r="B3288" s="23">
        <v>2</v>
      </c>
    </row>
    <row r="3289" spans="1:2" x14ac:dyDescent="0.25">
      <c r="A3289" t="s">
        <v>3454</v>
      </c>
      <c r="B3289" s="23">
        <v>2</v>
      </c>
    </row>
    <row r="3290" spans="1:2" x14ac:dyDescent="0.25">
      <c r="A3290" t="s">
        <v>3455</v>
      </c>
      <c r="B3290" s="23">
        <v>2</v>
      </c>
    </row>
    <row r="3291" spans="1:2" x14ac:dyDescent="0.25">
      <c r="A3291" t="s">
        <v>3456</v>
      </c>
      <c r="B3291" s="23">
        <v>2</v>
      </c>
    </row>
    <row r="3292" spans="1:2" x14ac:dyDescent="0.25">
      <c r="A3292" t="s">
        <v>3457</v>
      </c>
      <c r="B3292" s="23">
        <v>2</v>
      </c>
    </row>
    <row r="3293" spans="1:2" x14ac:dyDescent="0.25">
      <c r="A3293" t="s">
        <v>3458</v>
      </c>
      <c r="B3293" s="23">
        <v>2</v>
      </c>
    </row>
    <row r="3294" spans="1:2" x14ac:dyDescent="0.25">
      <c r="A3294" t="s">
        <v>3459</v>
      </c>
      <c r="B3294" s="23">
        <v>2</v>
      </c>
    </row>
    <row r="3295" spans="1:2" x14ac:dyDescent="0.25">
      <c r="A3295" t="s">
        <v>3460</v>
      </c>
      <c r="B3295" s="23">
        <v>2</v>
      </c>
    </row>
    <row r="3296" spans="1:2" x14ac:dyDescent="0.25">
      <c r="A3296" t="s">
        <v>3461</v>
      </c>
      <c r="B3296" s="23">
        <v>2</v>
      </c>
    </row>
    <row r="3297" spans="1:2" x14ac:dyDescent="0.25">
      <c r="A3297" t="s">
        <v>3462</v>
      </c>
      <c r="B3297" s="23">
        <v>2</v>
      </c>
    </row>
    <row r="3298" spans="1:2" x14ac:dyDescent="0.25">
      <c r="A3298" t="s">
        <v>3463</v>
      </c>
      <c r="B3298" s="23">
        <v>2</v>
      </c>
    </row>
    <row r="3299" spans="1:2" x14ac:dyDescent="0.25">
      <c r="A3299" t="s">
        <v>3464</v>
      </c>
      <c r="B3299" s="23">
        <v>2</v>
      </c>
    </row>
    <row r="3300" spans="1:2" x14ac:dyDescent="0.25">
      <c r="A3300" t="s">
        <v>3465</v>
      </c>
      <c r="B3300" s="23">
        <v>1</v>
      </c>
    </row>
    <row r="3301" spans="1:2" x14ac:dyDescent="0.25">
      <c r="A3301" t="s">
        <v>3466</v>
      </c>
      <c r="B3301" s="23">
        <v>1</v>
      </c>
    </row>
    <row r="3302" spans="1:2" x14ac:dyDescent="0.25">
      <c r="A3302" t="s">
        <v>3467</v>
      </c>
      <c r="B3302" s="23">
        <v>1</v>
      </c>
    </row>
    <row r="3303" spans="1:2" x14ac:dyDescent="0.25">
      <c r="A3303" t="s">
        <v>3468</v>
      </c>
      <c r="B3303" s="23">
        <v>1</v>
      </c>
    </row>
    <row r="3304" spans="1:2" x14ac:dyDescent="0.25">
      <c r="A3304" t="s">
        <v>3469</v>
      </c>
      <c r="B3304" s="23">
        <v>1</v>
      </c>
    </row>
    <row r="3305" spans="1:2" x14ac:dyDescent="0.25">
      <c r="A3305" t="s">
        <v>3470</v>
      </c>
      <c r="B3305" s="23">
        <v>1</v>
      </c>
    </row>
    <row r="3306" spans="1:2" x14ac:dyDescent="0.25">
      <c r="A3306" t="s">
        <v>3471</v>
      </c>
      <c r="B3306" s="23">
        <v>1</v>
      </c>
    </row>
    <row r="3307" spans="1:2" x14ac:dyDescent="0.25">
      <c r="A3307" t="s">
        <v>3472</v>
      </c>
      <c r="B3307" s="23">
        <v>1</v>
      </c>
    </row>
    <row r="3308" spans="1:2" x14ac:dyDescent="0.25">
      <c r="A3308" t="s">
        <v>3473</v>
      </c>
      <c r="B3308" s="23">
        <v>1</v>
      </c>
    </row>
    <row r="3309" spans="1:2" x14ac:dyDescent="0.25">
      <c r="A3309" t="s">
        <v>3474</v>
      </c>
      <c r="B3309" s="23">
        <v>1</v>
      </c>
    </row>
    <row r="3310" spans="1:2" x14ac:dyDescent="0.25">
      <c r="A3310" t="s">
        <v>3475</v>
      </c>
      <c r="B3310" s="23">
        <v>1</v>
      </c>
    </row>
    <row r="3311" spans="1:2" x14ac:dyDescent="0.25">
      <c r="A3311" t="s">
        <v>3476</v>
      </c>
      <c r="B3311" s="23">
        <v>1</v>
      </c>
    </row>
    <row r="3312" spans="1:2" x14ac:dyDescent="0.25">
      <c r="A3312" t="s">
        <v>3477</v>
      </c>
      <c r="B3312" s="23">
        <v>1</v>
      </c>
    </row>
    <row r="3313" spans="1:2" x14ac:dyDescent="0.25">
      <c r="A3313" t="s">
        <v>3478</v>
      </c>
      <c r="B3313" s="23">
        <v>1</v>
      </c>
    </row>
    <row r="3314" spans="1:2" x14ac:dyDescent="0.25">
      <c r="A3314" t="s">
        <v>3479</v>
      </c>
      <c r="B3314" s="23">
        <v>1</v>
      </c>
    </row>
    <row r="3315" spans="1:2" x14ac:dyDescent="0.25">
      <c r="A3315" t="s">
        <v>3480</v>
      </c>
      <c r="B3315" s="23">
        <v>1</v>
      </c>
    </row>
    <row r="3316" spans="1:2" x14ac:dyDescent="0.25">
      <c r="A3316" t="s">
        <v>3481</v>
      </c>
      <c r="B3316" s="23">
        <v>1</v>
      </c>
    </row>
    <row r="3317" spans="1:2" x14ac:dyDescent="0.25">
      <c r="A3317" t="s">
        <v>3482</v>
      </c>
      <c r="B3317" s="23">
        <v>1</v>
      </c>
    </row>
    <row r="3318" spans="1:2" x14ac:dyDescent="0.25">
      <c r="A3318" t="s">
        <v>3483</v>
      </c>
      <c r="B3318" s="23">
        <v>1</v>
      </c>
    </row>
    <row r="3319" spans="1:2" x14ac:dyDescent="0.25">
      <c r="A3319" t="s">
        <v>3484</v>
      </c>
      <c r="B3319" s="23">
        <v>1</v>
      </c>
    </row>
    <row r="3320" spans="1:2" x14ac:dyDescent="0.25">
      <c r="A3320" t="s">
        <v>3485</v>
      </c>
      <c r="B3320" s="23">
        <v>1</v>
      </c>
    </row>
    <row r="3321" spans="1:2" x14ac:dyDescent="0.25">
      <c r="A3321" t="s">
        <v>3486</v>
      </c>
      <c r="B3321" s="23">
        <v>1</v>
      </c>
    </row>
    <row r="3322" spans="1:2" x14ac:dyDescent="0.25">
      <c r="A3322" t="s">
        <v>3487</v>
      </c>
      <c r="B3322" s="23">
        <v>1</v>
      </c>
    </row>
    <row r="3323" spans="1:2" x14ac:dyDescent="0.25">
      <c r="A3323" t="s">
        <v>3488</v>
      </c>
      <c r="B3323" s="23">
        <v>1</v>
      </c>
    </row>
    <row r="3324" spans="1:2" x14ac:dyDescent="0.25">
      <c r="A3324" t="s">
        <v>3489</v>
      </c>
      <c r="B3324" s="23">
        <v>1</v>
      </c>
    </row>
    <row r="3325" spans="1:2" x14ac:dyDescent="0.25">
      <c r="A3325" t="s">
        <v>3490</v>
      </c>
      <c r="B3325" s="23">
        <v>1</v>
      </c>
    </row>
    <row r="3326" spans="1:2" x14ac:dyDescent="0.25">
      <c r="A3326" t="s">
        <v>3491</v>
      </c>
      <c r="B3326" s="23">
        <v>1</v>
      </c>
    </row>
    <row r="3327" spans="1:2" x14ac:dyDescent="0.25">
      <c r="A3327" t="s">
        <v>3492</v>
      </c>
      <c r="B3327" s="23">
        <v>1</v>
      </c>
    </row>
    <row r="3328" spans="1:2" x14ac:dyDescent="0.25">
      <c r="A3328" t="s">
        <v>3493</v>
      </c>
      <c r="B3328" s="23">
        <v>1</v>
      </c>
    </row>
    <row r="3329" spans="1:2" x14ac:dyDescent="0.25">
      <c r="A3329" t="s">
        <v>3494</v>
      </c>
      <c r="B3329" s="23">
        <v>1</v>
      </c>
    </row>
    <row r="3330" spans="1:2" x14ac:dyDescent="0.25">
      <c r="A3330" t="s">
        <v>3495</v>
      </c>
      <c r="B3330" s="23">
        <v>1</v>
      </c>
    </row>
    <row r="3331" spans="1:2" x14ac:dyDescent="0.25">
      <c r="A3331" t="s">
        <v>3496</v>
      </c>
      <c r="B3331" s="23">
        <v>1</v>
      </c>
    </row>
    <row r="3332" spans="1:2" x14ac:dyDescent="0.25">
      <c r="A3332" t="s">
        <v>3497</v>
      </c>
      <c r="B3332" s="23">
        <v>1</v>
      </c>
    </row>
    <row r="3333" spans="1:2" x14ac:dyDescent="0.25">
      <c r="A3333" t="s">
        <v>3498</v>
      </c>
      <c r="B3333" s="23">
        <v>1</v>
      </c>
    </row>
    <row r="3334" spans="1:2" x14ac:dyDescent="0.25">
      <c r="A3334" t="s">
        <v>3499</v>
      </c>
      <c r="B3334" s="23">
        <v>1</v>
      </c>
    </row>
    <row r="3335" spans="1:2" x14ac:dyDescent="0.25">
      <c r="A3335" t="s">
        <v>3500</v>
      </c>
      <c r="B3335" s="23">
        <v>1</v>
      </c>
    </row>
    <row r="3336" spans="1:2" x14ac:dyDescent="0.25">
      <c r="A3336" t="s">
        <v>3501</v>
      </c>
      <c r="B3336" s="23">
        <v>1</v>
      </c>
    </row>
    <row r="3337" spans="1:2" x14ac:dyDescent="0.25">
      <c r="A3337" t="s">
        <v>3502</v>
      </c>
      <c r="B3337" s="23">
        <v>1</v>
      </c>
    </row>
    <row r="3338" spans="1:2" x14ac:dyDescent="0.25">
      <c r="A3338" t="s">
        <v>3503</v>
      </c>
      <c r="B3338" s="23">
        <v>1</v>
      </c>
    </row>
    <row r="3339" spans="1:2" x14ac:dyDescent="0.25">
      <c r="A3339" t="s">
        <v>3504</v>
      </c>
      <c r="B3339" s="23">
        <v>1</v>
      </c>
    </row>
    <row r="3340" spans="1:2" x14ac:dyDescent="0.25">
      <c r="A3340" t="s">
        <v>3505</v>
      </c>
      <c r="B3340" s="23">
        <v>1</v>
      </c>
    </row>
    <row r="3341" spans="1:2" x14ac:dyDescent="0.25">
      <c r="A3341" t="s">
        <v>3506</v>
      </c>
      <c r="B3341" s="23">
        <v>1</v>
      </c>
    </row>
    <row r="3342" spans="1:2" x14ac:dyDescent="0.25">
      <c r="A3342" t="s">
        <v>3507</v>
      </c>
      <c r="B3342" s="23">
        <v>1</v>
      </c>
    </row>
    <row r="3343" spans="1:2" x14ac:dyDescent="0.25">
      <c r="A3343" t="s">
        <v>3508</v>
      </c>
      <c r="B3343" s="23">
        <v>1</v>
      </c>
    </row>
    <row r="3344" spans="1:2" x14ac:dyDescent="0.25">
      <c r="A3344" t="s">
        <v>3509</v>
      </c>
      <c r="B3344" s="23">
        <v>1</v>
      </c>
    </row>
    <row r="3345" spans="1:2" x14ac:dyDescent="0.25">
      <c r="A3345" t="s">
        <v>3510</v>
      </c>
      <c r="B3345" s="23">
        <v>1</v>
      </c>
    </row>
    <row r="3346" spans="1:2" x14ac:dyDescent="0.25">
      <c r="A3346" t="s">
        <v>3511</v>
      </c>
      <c r="B3346" s="23">
        <v>1</v>
      </c>
    </row>
    <row r="3347" spans="1:2" x14ac:dyDescent="0.25">
      <c r="A3347" t="s">
        <v>3512</v>
      </c>
      <c r="B3347" s="23">
        <v>1</v>
      </c>
    </row>
    <row r="3348" spans="1:2" x14ac:dyDescent="0.25">
      <c r="A3348" t="s">
        <v>3513</v>
      </c>
      <c r="B3348" s="23">
        <v>1</v>
      </c>
    </row>
    <row r="3349" spans="1:2" x14ac:dyDescent="0.25">
      <c r="A3349" t="s">
        <v>3514</v>
      </c>
      <c r="B3349" s="23">
        <v>1</v>
      </c>
    </row>
    <row r="3350" spans="1:2" x14ac:dyDescent="0.25">
      <c r="A3350" t="s">
        <v>3515</v>
      </c>
      <c r="B3350" s="23">
        <v>1</v>
      </c>
    </row>
    <row r="3351" spans="1:2" x14ac:dyDescent="0.25">
      <c r="A3351" t="s">
        <v>3516</v>
      </c>
      <c r="B3351" s="23">
        <v>1</v>
      </c>
    </row>
    <row r="3352" spans="1:2" x14ac:dyDescent="0.25">
      <c r="A3352" t="s">
        <v>3517</v>
      </c>
      <c r="B3352" s="23">
        <v>1</v>
      </c>
    </row>
    <row r="3353" spans="1:2" x14ac:dyDescent="0.25">
      <c r="A3353" t="s">
        <v>3518</v>
      </c>
      <c r="B3353" s="23">
        <v>1</v>
      </c>
    </row>
    <row r="3354" spans="1:2" x14ac:dyDescent="0.25">
      <c r="A3354" t="s">
        <v>3519</v>
      </c>
      <c r="B3354" s="23">
        <v>1</v>
      </c>
    </row>
    <row r="3355" spans="1:2" x14ac:dyDescent="0.25">
      <c r="A3355" t="s">
        <v>3520</v>
      </c>
      <c r="B3355" s="23">
        <v>1</v>
      </c>
    </row>
    <row r="3356" spans="1:2" x14ac:dyDescent="0.25">
      <c r="A3356" t="s">
        <v>3521</v>
      </c>
      <c r="B3356" s="23">
        <v>1</v>
      </c>
    </row>
    <row r="3357" spans="1:2" x14ac:dyDescent="0.25">
      <c r="A3357" t="s">
        <v>3522</v>
      </c>
      <c r="B3357" s="23">
        <v>1</v>
      </c>
    </row>
    <row r="3358" spans="1:2" x14ac:dyDescent="0.25">
      <c r="A3358" t="s">
        <v>3523</v>
      </c>
      <c r="B3358" s="23">
        <v>1</v>
      </c>
    </row>
    <row r="3359" spans="1:2" x14ac:dyDescent="0.25">
      <c r="A3359" t="s">
        <v>3524</v>
      </c>
      <c r="B3359" s="23">
        <v>1</v>
      </c>
    </row>
    <row r="3360" spans="1:2" x14ac:dyDescent="0.25">
      <c r="A3360" t="s">
        <v>3525</v>
      </c>
      <c r="B3360" s="23">
        <v>1</v>
      </c>
    </row>
    <row r="3361" spans="1:2" x14ac:dyDescent="0.25">
      <c r="A3361" t="s">
        <v>3526</v>
      </c>
      <c r="B3361" s="23">
        <v>1</v>
      </c>
    </row>
    <row r="3362" spans="1:2" x14ac:dyDescent="0.25">
      <c r="A3362" t="s">
        <v>3527</v>
      </c>
      <c r="B3362" s="23">
        <v>1</v>
      </c>
    </row>
    <row r="3363" spans="1:2" x14ac:dyDescent="0.25">
      <c r="A3363" t="s">
        <v>3528</v>
      </c>
      <c r="B3363" s="23">
        <v>1</v>
      </c>
    </row>
    <row r="3364" spans="1:2" x14ac:dyDescent="0.25">
      <c r="A3364" t="s">
        <v>3529</v>
      </c>
      <c r="B3364" s="23">
        <v>1</v>
      </c>
    </row>
    <row r="3365" spans="1:2" x14ac:dyDescent="0.25">
      <c r="A3365" t="s">
        <v>3530</v>
      </c>
      <c r="B3365" s="23">
        <v>1</v>
      </c>
    </row>
    <row r="3366" spans="1:2" x14ac:dyDescent="0.25">
      <c r="A3366" t="s">
        <v>3531</v>
      </c>
      <c r="B3366" s="23">
        <v>1</v>
      </c>
    </row>
    <row r="3367" spans="1:2" x14ac:dyDescent="0.25">
      <c r="A3367" t="s">
        <v>3532</v>
      </c>
      <c r="B3367" s="23">
        <v>1</v>
      </c>
    </row>
    <row r="3368" spans="1:2" x14ac:dyDescent="0.25">
      <c r="A3368" t="s">
        <v>3533</v>
      </c>
      <c r="B3368" s="23">
        <v>1</v>
      </c>
    </row>
    <row r="3369" spans="1:2" x14ac:dyDescent="0.25">
      <c r="A3369" t="s">
        <v>3534</v>
      </c>
      <c r="B3369" s="23">
        <v>1</v>
      </c>
    </row>
    <row r="3370" spans="1:2" x14ac:dyDescent="0.25">
      <c r="A3370" t="s">
        <v>3535</v>
      </c>
      <c r="B3370" s="23">
        <v>1</v>
      </c>
    </row>
    <row r="3371" spans="1:2" x14ac:dyDescent="0.25">
      <c r="A3371" t="s">
        <v>3536</v>
      </c>
      <c r="B3371" s="23">
        <v>1</v>
      </c>
    </row>
    <row r="3372" spans="1:2" x14ac:dyDescent="0.25">
      <c r="A3372" t="s">
        <v>3537</v>
      </c>
      <c r="B3372" s="23">
        <v>1</v>
      </c>
    </row>
    <row r="3373" spans="1:2" x14ac:dyDescent="0.25">
      <c r="A3373" t="s">
        <v>3538</v>
      </c>
      <c r="B3373" s="23">
        <v>1</v>
      </c>
    </row>
    <row r="3374" spans="1:2" x14ac:dyDescent="0.25">
      <c r="A3374" t="s">
        <v>3539</v>
      </c>
      <c r="B3374" s="23">
        <v>1</v>
      </c>
    </row>
    <row r="3375" spans="1:2" x14ac:dyDescent="0.25">
      <c r="A3375" t="s">
        <v>3540</v>
      </c>
      <c r="B3375" s="23">
        <v>1</v>
      </c>
    </row>
    <row r="3376" spans="1:2" x14ac:dyDescent="0.25">
      <c r="A3376" t="s">
        <v>3541</v>
      </c>
      <c r="B3376" s="23">
        <v>1</v>
      </c>
    </row>
    <row r="3377" spans="1:2" x14ac:dyDescent="0.25">
      <c r="A3377" t="s">
        <v>3542</v>
      </c>
      <c r="B3377" s="23">
        <v>1</v>
      </c>
    </row>
    <row r="3378" spans="1:2" x14ac:dyDescent="0.25">
      <c r="A3378" t="s">
        <v>3543</v>
      </c>
      <c r="B3378" s="23">
        <v>1</v>
      </c>
    </row>
    <row r="3379" spans="1:2" x14ac:dyDescent="0.25">
      <c r="A3379" t="s">
        <v>3544</v>
      </c>
      <c r="B3379" s="23">
        <v>1</v>
      </c>
    </row>
    <row r="3380" spans="1:2" x14ac:dyDescent="0.25">
      <c r="A3380" t="s">
        <v>3545</v>
      </c>
      <c r="B3380" s="23">
        <v>1</v>
      </c>
    </row>
    <row r="3381" spans="1:2" x14ac:dyDescent="0.25">
      <c r="A3381" t="s">
        <v>3546</v>
      </c>
      <c r="B3381" s="23">
        <v>1</v>
      </c>
    </row>
    <row r="3382" spans="1:2" x14ac:dyDescent="0.25">
      <c r="A3382" t="s">
        <v>3547</v>
      </c>
      <c r="B3382" s="23">
        <v>1</v>
      </c>
    </row>
    <row r="3383" spans="1:2" x14ac:dyDescent="0.25">
      <c r="A3383" t="s">
        <v>3548</v>
      </c>
      <c r="B3383" s="23">
        <v>1</v>
      </c>
    </row>
    <row r="3384" spans="1:2" x14ac:dyDescent="0.25">
      <c r="A3384" t="s">
        <v>3549</v>
      </c>
      <c r="B3384" s="23">
        <v>1</v>
      </c>
    </row>
    <row r="3385" spans="1:2" x14ac:dyDescent="0.25">
      <c r="A3385" t="s">
        <v>3550</v>
      </c>
      <c r="B3385" s="23">
        <v>1</v>
      </c>
    </row>
    <row r="3386" spans="1:2" x14ac:dyDescent="0.25">
      <c r="A3386" t="s">
        <v>3551</v>
      </c>
      <c r="B3386" s="23">
        <v>1</v>
      </c>
    </row>
    <row r="3387" spans="1:2" x14ac:dyDescent="0.25">
      <c r="A3387" t="s">
        <v>3552</v>
      </c>
      <c r="B3387" s="23">
        <v>1</v>
      </c>
    </row>
    <row r="3388" spans="1:2" x14ac:dyDescent="0.25">
      <c r="A3388" t="s">
        <v>3553</v>
      </c>
      <c r="B3388" s="23">
        <v>1</v>
      </c>
    </row>
    <row r="3389" spans="1:2" x14ac:dyDescent="0.25">
      <c r="A3389" t="s">
        <v>3554</v>
      </c>
      <c r="B3389" s="23">
        <v>1</v>
      </c>
    </row>
    <row r="3390" spans="1:2" x14ac:dyDescent="0.25">
      <c r="A3390" t="s">
        <v>3555</v>
      </c>
      <c r="B3390" s="23">
        <v>1</v>
      </c>
    </row>
    <row r="3391" spans="1:2" x14ac:dyDescent="0.25">
      <c r="A3391" t="s">
        <v>3556</v>
      </c>
      <c r="B3391" s="23">
        <v>1</v>
      </c>
    </row>
    <row r="3392" spans="1:2" x14ac:dyDescent="0.25">
      <c r="A3392" t="s">
        <v>3557</v>
      </c>
      <c r="B3392" s="23">
        <v>1</v>
      </c>
    </row>
    <row r="3393" spans="1:2" x14ac:dyDescent="0.25">
      <c r="A3393" t="s">
        <v>3558</v>
      </c>
      <c r="B3393" s="23">
        <v>1</v>
      </c>
    </row>
    <row r="3394" spans="1:2" x14ac:dyDescent="0.25">
      <c r="A3394" t="s">
        <v>3559</v>
      </c>
      <c r="B3394" s="23">
        <v>1</v>
      </c>
    </row>
    <row r="3395" spans="1:2" x14ac:dyDescent="0.25">
      <c r="A3395" t="s">
        <v>3560</v>
      </c>
      <c r="B3395" s="23">
        <v>1</v>
      </c>
    </row>
    <row r="3396" spans="1:2" x14ac:dyDescent="0.25">
      <c r="A3396" t="s">
        <v>3561</v>
      </c>
      <c r="B3396" s="23">
        <v>1</v>
      </c>
    </row>
    <row r="3397" spans="1:2" x14ac:dyDescent="0.25">
      <c r="A3397" t="s">
        <v>3562</v>
      </c>
      <c r="B3397" s="23">
        <v>1</v>
      </c>
    </row>
    <row r="3398" spans="1:2" x14ac:dyDescent="0.25">
      <c r="A3398" t="s">
        <v>3563</v>
      </c>
      <c r="B3398" s="23">
        <v>1</v>
      </c>
    </row>
    <row r="3399" spans="1:2" x14ac:dyDescent="0.25">
      <c r="A3399" t="s">
        <v>3564</v>
      </c>
      <c r="B3399" s="23">
        <v>1</v>
      </c>
    </row>
    <row r="3400" spans="1:2" x14ac:dyDescent="0.25">
      <c r="A3400" t="s">
        <v>3565</v>
      </c>
      <c r="B3400" s="23">
        <v>1</v>
      </c>
    </row>
    <row r="3401" spans="1:2" x14ac:dyDescent="0.25">
      <c r="A3401" t="s">
        <v>3566</v>
      </c>
      <c r="B3401" s="23">
        <v>1</v>
      </c>
    </row>
    <row r="3402" spans="1:2" x14ac:dyDescent="0.25">
      <c r="A3402" t="s">
        <v>3567</v>
      </c>
      <c r="B3402" s="23">
        <v>1</v>
      </c>
    </row>
    <row r="3403" spans="1:2" x14ac:dyDescent="0.25">
      <c r="A3403" t="s">
        <v>3568</v>
      </c>
      <c r="B3403" s="23">
        <v>1</v>
      </c>
    </row>
    <row r="3404" spans="1:2" x14ac:dyDescent="0.25">
      <c r="A3404" t="s">
        <v>3569</v>
      </c>
      <c r="B3404" s="23">
        <v>1</v>
      </c>
    </row>
    <row r="3405" spans="1:2" x14ac:dyDescent="0.25">
      <c r="A3405" t="s">
        <v>3570</v>
      </c>
      <c r="B3405" s="23">
        <v>1</v>
      </c>
    </row>
    <row r="3406" spans="1:2" x14ac:dyDescent="0.25">
      <c r="A3406" t="s">
        <v>3571</v>
      </c>
      <c r="B3406" s="23">
        <v>1</v>
      </c>
    </row>
    <row r="3407" spans="1:2" x14ac:dyDescent="0.25">
      <c r="A3407" t="s">
        <v>3572</v>
      </c>
      <c r="B3407" s="23">
        <v>1</v>
      </c>
    </row>
    <row r="3408" spans="1:2" x14ac:dyDescent="0.25">
      <c r="A3408" t="s">
        <v>3573</v>
      </c>
      <c r="B3408" s="23">
        <v>1</v>
      </c>
    </row>
    <row r="3409" spans="1:2" x14ac:dyDescent="0.25">
      <c r="A3409" t="s">
        <v>3574</v>
      </c>
      <c r="B3409" s="23">
        <v>1</v>
      </c>
    </row>
    <row r="3410" spans="1:2" x14ac:dyDescent="0.25">
      <c r="A3410" t="s">
        <v>3575</v>
      </c>
      <c r="B3410" s="23">
        <v>1</v>
      </c>
    </row>
    <row r="3411" spans="1:2" x14ac:dyDescent="0.25">
      <c r="A3411" t="s">
        <v>3576</v>
      </c>
      <c r="B3411" s="23">
        <v>1</v>
      </c>
    </row>
    <row r="3412" spans="1:2" x14ac:dyDescent="0.25">
      <c r="A3412" t="s">
        <v>3577</v>
      </c>
      <c r="B3412" s="23">
        <v>1</v>
      </c>
    </row>
    <row r="3413" spans="1:2" x14ac:dyDescent="0.25">
      <c r="A3413" t="s">
        <v>3578</v>
      </c>
      <c r="B3413" s="23">
        <v>1</v>
      </c>
    </row>
    <row r="3414" spans="1:2" x14ac:dyDescent="0.25">
      <c r="A3414" t="s">
        <v>3579</v>
      </c>
      <c r="B3414" s="23">
        <v>1</v>
      </c>
    </row>
    <row r="3415" spans="1:2" x14ac:dyDescent="0.25">
      <c r="A3415" t="s">
        <v>3580</v>
      </c>
      <c r="B3415" s="23">
        <v>1</v>
      </c>
    </row>
    <row r="3416" spans="1:2" x14ac:dyDescent="0.25">
      <c r="A3416" t="s">
        <v>3581</v>
      </c>
      <c r="B3416" s="23">
        <v>1</v>
      </c>
    </row>
    <row r="3417" spans="1:2" x14ac:dyDescent="0.25">
      <c r="A3417" t="s">
        <v>3582</v>
      </c>
      <c r="B3417" s="23">
        <v>1</v>
      </c>
    </row>
    <row r="3418" spans="1:2" x14ac:dyDescent="0.25">
      <c r="A3418" t="s">
        <v>3583</v>
      </c>
      <c r="B3418" s="23">
        <v>1</v>
      </c>
    </row>
    <row r="3419" spans="1:2" x14ac:dyDescent="0.25">
      <c r="A3419" t="s">
        <v>3584</v>
      </c>
      <c r="B3419" s="23">
        <v>1</v>
      </c>
    </row>
    <row r="3420" spans="1:2" x14ac:dyDescent="0.25">
      <c r="A3420" t="s">
        <v>3585</v>
      </c>
      <c r="B3420" s="23">
        <v>1</v>
      </c>
    </row>
    <row r="3421" spans="1:2" x14ac:dyDescent="0.25">
      <c r="A3421" t="s">
        <v>3586</v>
      </c>
      <c r="B3421" s="23">
        <v>1</v>
      </c>
    </row>
    <row r="3422" spans="1:2" x14ac:dyDescent="0.25">
      <c r="A3422" t="s">
        <v>3587</v>
      </c>
      <c r="B3422" s="23">
        <v>1</v>
      </c>
    </row>
    <row r="3423" spans="1:2" x14ac:dyDescent="0.25">
      <c r="A3423" t="s">
        <v>3588</v>
      </c>
      <c r="B3423" s="23">
        <v>1</v>
      </c>
    </row>
    <row r="3424" spans="1:2" x14ac:dyDescent="0.25">
      <c r="A3424" t="s">
        <v>3589</v>
      </c>
      <c r="B3424" s="23">
        <v>1</v>
      </c>
    </row>
    <row r="3425" spans="1:2" x14ac:dyDescent="0.25">
      <c r="A3425" t="s">
        <v>3590</v>
      </c>
      <c r="B3425" s="23">
        <v>1</v>
      </c>
    </row>
    <row r="3426" spans="1:2" x14ac:dyDescent="0.25">
      <c r="A3426" t="s">
        <v>3591</v>
      </c>
      <c r="B3426" s="23">
        <v>1</v>
      </c>
    </row>
    <row r="3427" spans="1:2" x14ac:dyDescent="0.25">
      <c r="A3427" t="s">
        <v>3592</v>
      </c>
      <c r="B3427" s="23">
        <v>1</v>
      </c>
    </row>
    <row r="3428" spans="1:2" x14ac:dyDescent="0.25">
      <c r="A3428" t="s">
        <v>3593</v>
      </c>
      <c r="B3428" s="23">
        <v>1</v>
      </c>
    </row>
    <row r="3429" spans="1:2" x14ac:dyDescent="0.25">
      <c r="A3429" t="s">
        <v>3594</v>
      </c>
      <c r="B3429" s="23">
        <v>1</v>
      </c>
    </row>
    <row r="3430" spans="1:2" x14ac:dyDescent="0.25">
      <c r="A3430" t="s">
        <v>3595</v>
      </c>
      <c r="B3430" s="23">
        <v>1</v>
      </c>
    </row>
    <row r="3431" spans="1:2" x14ac:dyDescent="0.25">
      <c r="A3431" t="s">
        <v>3596</v>
      </c>
      <c r="B3431" s="23">
        <v>1</v>
      </c>
    </row>
    <row r="3432" spans="1:2" x14ac:dyDescent="0.25">
      <c r="A3432" t="s">
        <v>3597</v>
      </c>
      <c r="B3432" s="23">
        <v>1</v>
      </c>
    </row>
    <row r="3433" spans="1:2" x14ac:dyDescent="0.25">
      <c r="A3433" t="s">
        <v>3598</v>
      </c>
      <c r="B3433" s="23">
        <v>1</v>
      </c>
    </row>
    <row r="3434" spans="1:2" x14ac:dyDescent="0.25">
      <c r="A3434" t="s">
        <v>3599</v>
      </c>
      <c r="B3434" s="23">
        <v>1</v>
      </c>
    </row>
    <row r="3435" spans="1:2" x14ac:dyDescent="0.25">
      <c r="A3435" t="s">
        <v>3600</v>
      </c>
      <c r="B3435" s="23">
        <v>1</v>
      </c>
    </row>
    <row r="3436" spans="1:2" x14ac:dyDescent="0.25">
      <c r="A3436" t="s">
        <v>3601</v>
      </c>
      <c r="B3436" s="23">
        <v>1</v>
      </c>
    </row>
    <row r="3437" spans="1:2" x14ac:dyDescent="0.25">
      <c r="A3437" t="s">
        <v>3602</v>
      </c>
      <c r="B3437" s="23">
        <v>1</v>
      </c>
    </row>
    <row r="3438" spans="1:2" x14ac:dyDescent="0.25">
      <c r="A3438" t="s">
        <v>3603</v>
      </c>
      <c r="B3438" s="23">
        <v>1</v>
      </c>
    </row>
    <row r="3439" spans="1:2" x14ac:dyDescent="0.25">
      <c r="A3439" t="s">
        <v>3604</v>
      </c>
      <c r="B3439" s="23">
        <v>1</v>
      </c>
    </row>
    <row r="3440" spans="1:2" x14ac:dyDescent="0.25">
      <c r="A3440" t="s">
        <v>3605</v>
      </c>
      <c r="B3440" s="23">
        <v>70</v>
      </c>
    </row>
    <row r="3441" spans="1:2" x14ac:dyDescent="0.25">
      <c r="A3441" t="s">
        <v>3606</v>
      </c>
      <c r="B3441" s="23">
        <v>69</v>
      </c>
    </row>
    <row r="3442" spans="1:2" x14ac:dyDescent="0.25">
      <c r="A3442" t="s">
        <v>3607</v>
      </c>
      <c r="B3442" s="23">
        <v>68</v>
      </c>
    </row>
    <row r="3443" spans="1:2" x14ac:dyDescent="0.25">
      <c r="A3443" t="s">
        <v>3608</v>
      </c>
      <c r="B3443" s="23">
        <v>67</v>
      </c>
    </row>
    <row r="3444" spans="1:2" x14ac:dyDescent="0.25">
      <c r="A3444" t="s">
        <v>3609</v>
      </c>
      <c r="B3444" s="23">
        <v>66</v>
      </c>
    </row>
    <row r="3445" spans="1:2" x14ac:dyDescent="0.25">
      <c r="A3445" t="s">
        <v>3610</v>
      </c>
      <c r="B3445" s="23">
        <v>65</v>
      </c>
    </row>
    <row r="3446" spans="1:2" x14ac:dyDescent="0.25">
      <c r="A3446" t="s">
        <v>3611</v>
      </c>
      <c r="B3446" s="23">
        <v>64</v>
      </c>
    </row>
    <row r="3447" spans="1:2" x14ac:dyDescent="0.25">
      <c r="A3447" t="s">
        <v>3612</v>
      </c>
      <c r="B3447" s="23">
        <v>63</v>
      </c>
    </row>
    <row r="3448" spans="1:2" x14ac:dyDescent="0.25">
      <c r="A3448" t="s">
        <v>3613</v>
      </c>
      <c r="B3448" s="23">
        <v>62</v>
      </c>
    </row>
    <row r="3449" spans="1:2" x14ac:dyDescent="0.25">
      <c r="A3449" t="s">
        <v>3614</v>
      </c>
      <c r="B3449" s="23">
        <v>61</v>
      </c>
    </row>
    <row r="3450" spans="1:2" x14ac:dyDescent="0.25">
      <c r="A3450" t="s">
        <v>3615</v>
      </c>
      <c r="B3450" s="23">
        <v>60</v>
      </c>
    </row>
    <row r="3451" spans="1:2" x14ac:dyDescent="0.25">
      <c r="A3451" t="s">
        <v>3616</v>
      </c>
      <c r="B3451" s="23">
        <v>59</v>
      </c>
    </row>
    <row r="3452" spans="1:2" x14ac:dyDescent="0.25">
      <c r="A3452" t="s">
        <v>3617</v>
      </c>
      <c r="B3452" s="23">
        <v>58</v>
      </c>
    </row>
    <row r="3453" spans="1:2" x14ac:dyDescent="0.25">
      <c r="A3453" t="s">
        <v>3618</v>
      </c>
      <c r="B3453" s="23">
        <v>57</v>
      </c>
    </row>
    <row r="3454" spans="1:2" x14ac:dyDescent="0.25">
      <c r="A3454" t="s">
        <v>3619</v>
      </c>
      <c r="B3454" s="23">
        <v>56</v>
      </c>
    </row>
    <row r="3455" spans="1:2" x14ac:dyDescent="0.25">
      <c r="A3455" t="s">
        <v>3620</v>
      </c>
      <c r="B3455" s="23">
        <v>56</v>
      </c>
    </row>
    <row r="3456" spans="1:2" x14ac:dyDescent="0.25">
      <c r="A3456" t="s">
        <v>3621</v>
      </c>
      <c r="B3456" s="23">
        <v>55</v>
      </c>
    </row>
    <row r="3457" spans="1:2" x14ac:dyDescent="0.25">
      <c r="A3457" t="s">
        <v>3622</v>
      </c>
      <c r="B3457" s="23">
        <v>55</v>
      </c>
    </row>
    <row r="3458" spans="1:2" x14ac:dyDescent="0.25">
      <c r="A3458" t="s">
        <v>3623</v>
      </c>
      <c r="B3458" s="23">
        <v>54</v>
      </c>
    </row>
    <row r="3459" spans="1:2" x14ac:dyDescent="0.25">
      <c r="A3459" t="s">
        <v>3624</v>
      </c>
      <c r="B3459" s="23">
        <v>54</v>
      </c>
    </row>
    <row r="3460" spans="1:2" x14ac:dyDescent="0.25">
      <c r="A3460" t="s">
        <v>3625</v>
      </c>
      <c r="B3460" s="23">
        <v>53</v>
      </c>
    </row>
    <row r="3461" spans="1:2" x14ac:dyDescent="0.25">
      <c r="A3461" t="s">
        <v>3626</v>
      </c>
      <c r="B3461" s="23">
        <v>53</v>
      </c>
    </row>
    <row r="3462" spans="1:2" x14ac:dyDescent="0.25">
      <c r="A3462" t="s">
        <v>3627</v>
      </c>
      <c r="B3462" s="23">
        <v>52</v>
      </c>
    </row>
    <row r="3463" spans="1:2" x14ac:dyDescent="0.25">
      <c r="A3463" t="s">
        <v>3628</v>
      </c>
      <c r="B3463" s="23">
        <v>52</v>
      </c>
    </row>
    <row r="3464" spans="1:2" x14ac:dyDescent="0.25">
      <c r="A3464" t="s">
        <v>3629</v>
      </c>
      <c r="B3464" s="23">
        <v>51</v>
      </c>
    </row>
    <row r="3465" spans="1:2" x14ac:dyDescent="0.25">
      <c r="A3465" t="s">
        <v>3630</v>
      </c>
      <c r="B3465" s="23">
        <v>51</v>
      </c>
    </row>
    <row r="3466" spans="1:2" x14ac:dyDescent="0.25">
      <c r="A3466" t="s">
        <v>3631</v>
      </c>
      <c r="B3466" s="23">
        <v>50</v>
      </c>
    </row>
    <row r="3467" spans="1:2" x14ac:dyDescent="0.25">
      <c r="A3467" t="s">
        <v>3632</v>
      </c>
      <c r="B3467" s="23">
        <v>50</v>
      </c>
    </row>
    <row r="3468" spans="1:2" x14ac:dyDescent="0.25">
      <c r="A3468" t="s">
        <v>3633</v>
      </c>
      <c r="B3468" s="23">
        <v>49</v>
      </c>
    </row>
    <row r="3469" spans="1:2" x14ac:dyDescent="0.25">
      <c r="A3469" t="s">
        <v>3634</v>
      </c>
      <c r="B3469" s="23">
        <v>49</v>
      </c>
    </row>
    <row r="3470" spans="1:2" x14ac:dyDescent="0.25">
      <c r="A3470" t="s">
        <v>3635</v>
      </c>
      <c r="B3470" s="23">
        <v>48</v>
      </c>
    </row>
    <row r="3471" spans="1:2" x14ac:dyDescent="0.25">
      <c r="A3471" t="s">
        <v>3636</v>
      </c>
      <c r="B3471" s="23">
        <v>48</v>
      </c>
    </row>
    <row r="3472" spans="1:2" x14ac:dyDescent="0.25">
      <c r="A3472" t="s">
        <v>3637</v>
      </c>
      <c r="B3472" s="23">
        <v>47</v>
      </c>
    </row>
    <row r="3473" spans="1:2" x14ac:dyDescent="0.25">
      <c r="A3473" t="s">
        <v>3638</v>
      </c>
      <c r="B3473" s="23">
        <v>47</v>
      </c>
    </row>
    <row r="3474" spans="1:2" x14ac:dyDescent="0.25">
      <c r="A3474" t="s">
        <v>3639</v>
      </c>
      <c r="B3474" s="23">
        <v>46</v>
      </c>
    </row>
    <row r="3475" spans="1:2" x14ac:dyDescent="0.25">
      <c r="A3475" t="s">
        <v>3640</v>
      </c>
      <c r="B3475" s="23">
        <v>46</v>
      </c>
    </row>
    <row r="3476" spans="1:2" x14ac:dyDescent="0.25">
      <c r="A3476" t="s">
        <v>3641</v>
      </c>
      <c r="B3476" s="23">
        <v>45</v>
      </c>
    </row>
    <row r="3477" spans="1:2" x14ac:dyDescent="0.25">
      <c r="A3477" t="s">
        <v>3642</v>
      </c>
      <c r="B3477" s="23">
        <v>45</v>
      </c>
    </row>
    <row r="3478" spans="1:2" x14ac:dyDescent="0.25">
      <c r="A3478" t="s">
        <v>3643</v>
      </c>
      <c r="B3478" s="23">
        <v>44</v>
      </c>
    </row>
    <row r="3479" spans="1:2" x14ac:dyDescent="0.25">
      <c r="A3479" t="s">
        <v>3644</v>
      </c>
      <c r="B3479" s="23">
        <v>44</v>
      </c>
    </row>
    <row r="3480" spans="1:2" x14ac:dyDescent="0.25">
      <c r="A3480" t="s">
        <v>3645</v>
      </c>
      <c r="B3480" s="23">
        <v>43</v>
      </c>
    </row>
    <row r="3481" spans="1:2" x14ac:dyDescent="0.25">
      <c r="A3481" t="s">
        <v>3646</v>
      </c>
      <c r="B3481" s="23">
        <v>43</v>
      </c>
    </row>
    <row r="3482" spans="1:2" x14ac:dyDescent="0.25">
      <c r="A3482" t="s">
        <v>3647</v>
      </c>
      <c r="B3482" s="23">
        <v>42</v>
      </c>
    </row>
    <row r="3483" spans="1:2" x14ac:dyDescent="0.25">
      <c r="A3483" t="s">
        <v>3648</v>
      </c>
      <c r="B3483" s="23">
        <v>42</v>
      </c>
    </row>
    <row r="3484" spans="1:2" x14ac:dyDescent="0.25">
      <c r="A3484" t="s">
        <v>3649</v>
      </c>
      <c r="B3484" s="23">
        <v>41</v>
      </c>
    </row>
    <row r="3485" spans="1:2" x14ac:dyDescent="0.25">
      <c r="A3485" t="s">
        <v>3650</v>
      </c>
      <c r="B3485" s="23">
        <v>41</v>
      </c>
    </row>
    <row r="3486" spans="1:2" x14ac:dyDescent="0.25">
      <c r="A3486" t="s">
        <v>3651</v>
      </c>
      <c r="B3486" s="23">
        <v>40</v>
      </c>
    </row>
    <row r="3487" spans="1:2" x14ac:dyDescent="0.25">
      <c r="A3487" t="s">
        <v>3652</v>
      </c>
      <c r="B3487" s="23">
        <v>40</v>
      </c>
    </row>
    <row r="3488" spans="1:2" x14ac:dyDescent="0.25">
      <c r="A3488" t="s">
        <v>3653</v>
      </c>
      <c r="B3488" s="23">
        <v>39</v>
      </c>
    </row>
    <row r="3489" spans="1:2" x14ac:dyDescent="0.25">
      <c r="A3489" t="s">
        <v>3654</v>
      </c>
      <c r="B3489" s="23">
        <v>39</v>
      </c>
    </row>
    <row r="3490" spans="1:2" x14ac:dyDescent="0.25">
      <c r="A3490" t="s">
        <v>3655</v>
      </c>
      <c r="B3490" s="23">
        <v>38</v>
      </c>
    </row>
    <row r="3491" spans="1:2" x14ac:dyDescent="0.25">
      <c r="A3491" t="s">
        <v>3656</v>
      </c>
      <c r="B3491" s="23">
        <v>38</v>
      </c>
    </row>
    <row r="3492" spans="1:2" x14ac:dyDescent="0.25">
      <c r="A3492" t="s">
        <v>3657</v>
      </c>
      <c r="B3492" s="23">
        <v>37</v>
      </c>
    </row>
    <row r="3493" spans="1:2" x14ac:dyDescent="0.25">
      <c r="A3493" t="s">
        <v>3658</v>
      </c>
      <c r="B3493" s="23">
        <v>37</v>
      </c>
    </row>
    <row r="3494" spans="1:2" x14ac:dyDescent="0.25">
      <c r="A3494" t="s">
        <v>3659</v>
      </c>
      <c r="B3494" s="23">
        <v>36</v>
      </c>
    </row>
    <row r="3495" spans="1:2" x14ac:dyDescent="0.25">
      <c r="A3495" t="s">
        <v>3660</v>
      </c>
      <c r="B3495" s="23">
        <v>36</v>
      </c>
    </row>
    <row r="3496" spans="1:2" x14ac:dyDescent="0.25">
      <c r="A3496" t="s">
        <v>3661</v>
      </c>
      <c r="B3496" s="23">
        <v>35</v>
      </c>
    </row>
    <row r="3497" spans="1:2" x14ac:dyDescent="0.25">
      <c r="A3497" t="s">
        <v>3662</v>
      </c>
      <c r="B3497" s="23">
        <v>35</v>
      </c>
    </row>
    <row r="3498" spans="1:2" x14ac:dyDescent="0.25">
      <c r="A3498" t="s">
        <v>3663</v>
      </c>
      <c r="B3498" s="23">
        <v>34</v>
      </c>
    </row>
    <row r="3499" spans="1:2" x14ac:dyDescent="0.25">
      <c r="A3499" t="s">
        <v>3664</v>
      </c>
      <c r="B3499" s="23">
        <v>34</v>
      </c>
    </row>
    <row r="3500" spans="1:2" x14ac:dyDescent="0.25">
      <c r="A3500" t="s">
        <v>3665</v>
      </c>
      <c r="B3500" s="23">
        <v>33</v>
      </c>
    </row>
    <row r="3501" spans="1:2" x14ac:dyDescent="0.25">
      <c r="A3501" t="s">
        <v>3666</v>
      </c>
      <c r="B3501" s="23">
        <v>33</v>
      </c>
    </row>
    <row r="3502" spans="1:2" x14ac:dyDescent="0.25">
      <c r="A3502" t="s">
        <v>3667</v>
      </c>
      <c r="B3502" s="23">
        <v>32</v>
      </c>
    </row>
    <row r="3503" spans="1:2" x14ac:dyDescent="0.25">
      <c r="A3503" t="s">
        <v>3668</v>
      </c>
      <c r="B3503" s="23">
        <v>32</v>
      </c>
    </row>
    <row r="3504" spans="1:2" x14ac:dyDescent="0.25">
      <c r="A3504" t="s">
        <v>3669</v>
      </c>
      <c r="B3504" s="23">
        <v>31</v>
      </c>
    </row>
    <row r="3505" spans="1:2" x14ac:dyDescent="0.25">
      <c r="A3505" t="s">
        <v>3670</v>
      </c>
      <c r="B3505" s="23">
        <v>31</v>
      </c>
    </row>
    <row r="3506" spans="1:2" x14ac:dyDescent="0.25">
      <c r="A3506" t="s">
        <v>3671</v>
      </c>
      <c r="B3506" s="23">
        <v>30</v>
      </c>
    </row>
    <row r="3507" spans="1:2" x14ac:dyDescent="0.25">
      <c r="A3507" t="s">
        <v>3672</v>
      </c>
      <c r="B3507" s="23">
        <v>30</v>
      </c>
    </row>
    <row r="3508" spans="1:2" x14ac:dyDescent="0.25">
      <c r="A3508" t="s">
        <v>3673</v>
      </c>
      <c r="B3508" s="23">
        <v>29</v>
      </c>
    </row>
    <row r="3509" spans="1:2" x14ac:dyDescent="0.25">
      <c r="A3509" t="s">
        <v>3674</v>
      </c>
      <c r="B3509" s="23">
        <v>29</v>
      </c>
    </row>
    <row r="3510" spans="1:2" x14ac:dyDescent="0.25">
      <c r="A3510" t="s">
        <v>3675</v>
      </c>
      <c r="B3510" s="23">
        <v>28</v>
      </c>
    </row>
    <row r="3511" spans="1:2" x14ac:dyDescent="0.25">
      <c r="A3511" t="s">
        <v>3676</v>
      </c>
      <c r="B3511" s="23">
        <v>28</v>
      </c>
    </row>
    <row r="3512" spans="1:2" x14ac:dyDescent="0.25">
      <c r="A3512" t="s">
        <v>3677</v>
      </c>
      <c r="B3512" s="23">
        <v>27</v>
      </c>
    </row>
    <row r="3513" spans="1:2" x14ac:dyDescent="0.25">
      <c r="A3513" t="s">
        <v>3678</v>
      </c>
      <c r="B3513" s="23">
        <v>27</v>
      </c>
    </row>
    <row r="3514" spans="1:2" x14ac:dyDescent="0.25">
      <c r="A3514" t="s">
        <v>3679</v>
      </c>
      <c r="B3514" s="23">
        <v>26</v>
      </c>
    </row>
    <row r="3515" spans="1:2" x14ac:dyDescent="0.25">
      <c r="A3515" t="s">
        <v>3680</v>
      </c>
      <c r="B3515" s="23">
        <v>26</v>
      </c>
    </row>
    <row r="3516" spans="1:2" x14ac:dyDescent="0.25">
      <c r="A3516" t="s">
        <v>3681</v>
      </c>
      <c r="B3516" s="23">
        <v>26</v>
      </c>
    </row>
    <row r="3517" spans="1:2" x14ac:dyDescent="0.25">
      <c r="A3517" t="s">
        <v>3682</v>
      </c>
      <c r="B3517" s="23">
        <v>26</v>
      </c>
    </row>
    <row r="3518" spans="1:2" x14ac:dyDescent="0.25">
      <c r="A3518" t="s">
        <v>3683</v>
      </c>
      <c r="B3518" s="23">
        <v>26</v>
      </c>
    </row>
    <row r="3519" spans="1:2" x14ac:dyDescent="0.25">
      <c r="A3519" t="s">
        <v>3684</v>
      </c>
      <c r="B3519" s="23">
        <v>25</v>
      </c>
    </row>
    <row r="3520" spans="1:2" x14ac:dyDescent="0.25">
      <c r="A3520" t="s">
        <v>3685</v>
      </c>
      <c r="B3520" s="23">
        <v>25</v>
      </c>
    </row>
    <row r="3521" spans="1:2" x14ac:dyDescent="0.25">
      <c r="A3521" t="s">
        <v>3686</v>
      </c>
      <c r="B3521" s="23">
        <v>25</v>
      </c>
    </row>
    <row r="3522" spans="1:2" x14ac:dyDescent="0.25">
      <c r="A3522" t="s">
        <v>3687</v>
      </c>
      <c r="B3522" s="23">
        <v>25</v>
      </c>
    </row>
    <row r="3523" spans="1:2" x14ac:dyDescent="0.25">
      <c r="A3523" t="s">
        <v>3688</v>
      </c>
      <c r="B3523" s="23">
        <v>25</v>
      </c>
    </row>
    <row r="3524" spans="1:2" x14ac:dyDescent="0.25">
      <c r="A3524" t="s">
        <v>3689</v>
      </c>
      <c r="B3524" s="23">
        <v>24</v>
      </c>
    </row>
    <row r="3525" spans="1:2" x14ac:dyDescent="0.25">
      <c r="A3525" t="s">
        <v>3690</v>
      </c>
      <c r="B3525" s="23">
        <v>24</v>
      </c>
    </row>
    <row r="3526" spans="1:2" x14ac:dyDescent="0.25">
      <c r="A3526" t="s">
        <v>3691</v>
      </c>
      <c r="B3526" s="23">
        <v>24</v>
      </c>
    </row>
    <row r="3527" spans="1:2" x14ac:dyDescent="0.25">
      <c r="A3527" t="s">
        <v>3692</v>
      </c>
      <c r="B3527" s="23">
        <v>24</v>
      </c>
    </row>
    <row r="3528" spans="1:2" x14ac:dyDescent="0.25">
      <c r="A3528" t="s">
        <v>3693</v>
      </c>
      <c r="B3528" s="23">
        <v>24</v>
      </c>
    </row>
    <row r="3529" spans="1:2" x14ac:dyDescent="0.25">
      <c r="A3529" t="s">
        <v>3694</v>
      </c>
      <c r="B3529" s="23">
        <v>23</v>
      </c>
    </row>
    <row r="3530" spans="1:2" x14ac:dyDescent="0.25">
      <c r="A3530" t="s">
        <v>3695</v>
      </c>
      <c r="B3530" s="23">
        <v>23</v>
      </c>
    </row>
    <row r="3531" spans="1:2" x14ac:dyDescent="0.25">
      <c r="A3531" t="s">
        <v>3696</v>
      </c>
      <c r="B3531" s="23">
        <v>23</v>
      </c>
    </row>
    <row r="3532" spans="1:2" x14ac:dyDescent="0.25">
      <c r="A3532" t="s">
        <v>3697</v>
      </c>
      <c r="B3532" s="23">
        <v>23</v>
      </c>
    </row>
    <row r="3533" spans="1:2" x14ac:dyDescent="0.25">
      <c r="A3533" t="s">
        <v>3698</v>
      </c>
      <c r="B3533" s="23">
        <v>23</v>
      </c>
    </row>
    <row r="3534" spans="1:2" x14ac:dyDescent="0.25">
      <c r="A3534" t="s">
        <v>3699</v>
      </c>
      <c r="B3534" s="23">
        <v>22</v>
      </c>
    </row>
    <row r="3535" spans="1:2" x14ac:dyDescent="0.25">
      <c r="A3535" t="s">
        <v>3700</v>
      </c>
      <c r="B3535" s="23">
        <v>22</v>
      </c>
    </row>
    <row r="3536" spans="1:2" x14ac:dyDescent="0.25">
      <c r="A3536" t="s">
        <v>3701</v>
      </c>
      <c r="B3536" s="23">
        <v>22</v>
      </c>
    </row>
    <row r="3537" spans="1:2" x14ac:dyDescent="0.25">
      <c r="A3537" t="s">
        <v>3702</v>
      </c>
      <c r="B3537" s="23">
        <v>22</v>
      </c>
    </row>
    <row r="3538" spans="1:2" x14ac:dyDescent="0.25">
      <c r="A3538" t="s">
        <v>3703</v>
      </c>
      <c r="B3538" s="23">
        <v>22</v>
      </c>
    </row>
    <row r="3539" spans="1:2" x14ac:dyDescent="0.25">
      <c r="A3539" t="s">
        <v>3704</v>
      </c>
      <c r="B3539" s="23">
        <v>21</v>
      </c>
    </row>
    <row r="3540" spans="1:2" x14ac:dyDescent="0.25">
      <c r="A3540" t="s">
        <v>3705</v>
      </c>
      <c r="B3540" s="23">
        <v>21</v>
      </c>
    </row>
    <row r="3541" spans="1:2" x14ac:dyDescent="0.25">
      <c r="A3541" t="s">
        <v>3706</v>
      </c>
      <c r="B3541" s="23">
        <v>21</v>
      </c>
    </row>
    <row r="3542" spans="1:2" x14ac:dyDescent="0.25">
      <c r="A3542" t="s">
        <v>3707</v>
      </c>
      <c r="B3542" s="23">
        <v>21</v>
      </c>
    </row>
    <row r="3543" spans="1:2" x14ac:dyDescent="0.25">
      <c r="A3543" t="s">
        <v>3708</v>
      </c>
      <c r="B3543" s="23">
        <v>21</v>
      </c>
    </row>
    <row r="3544" spans="1:2" x14ac:dyDescent="0.25">
      <c r="A3544" t="s">
        <v>3709</v>
      </c>
      <c r="B3544" s="23">
        <v>20</v>
      </c>
    </row>
    <row r="3545" spans="1:2" x14ac:dyDescent="0.25">
      <c r="A3545" t="s">
        <v>3710</v>
      </c>
      <c r="B3545" s="23">
        <v>20</v>
      </c>
    </row>
    <row r="3546" spans="1:2" x14ac:dyDescent="0.25">
      <c r="A3546" t="s">
        <v>3711</v>
      </c>
      <c r="B3546" s="23">
        <v>20</v>
      </c>
    </row>
    <row r="3547" spans="1:2" x14ac:dyDescent="0.25">
      <c r="A3547" t="s">
        <v>3712</v>
      </c>
      <c r="B3547" s="23">
        <v>20</v>
      </c>
    </row>
    <row r="3548" spans="1:2" x14ac:dyDescent="0.25">
      <c r="A3548" t="s">
        <v>3713</v>
      </c>
      <c r="B3548" s="23">
        <v>20</v>
      </c>
    </row>
    <row r="3549" spans="1:2" x14ac:dyDescent="0.25">
      <c r="A3549" t="s">
        <v>3714</v>
      </c>
      <c r="B3549" s="23">
        <v>20</v>
      </c>
    </row>
    <row r="3550" spans="1:2" x14ac:dyDescent="0.25">
      <c r="A3550" t="s">
        <v>3715</v>
      </c>
      <c r="B3550" s="23">
        <v>20</v>
      </c>
    </row>
    <row r="3551" spans="1:2" x14ac:dyDescent="0.25">
      <c r="A3551" t="s">
        <v>3716</v>
      </c>
      <c r="B3551" s="23">
        <v>20</v>
      </c>
    </row>
    <row r="3552" spans="1:2" x14ac:dyDescent="0.25">
      <c r="A3552" t="s">
        <v>3717</v>
      </c>
      <c r="B3552" s="23">
        <v>20</v>
      </c>
    </row>
    <row r="3553" spans="1:2" x14ac:dyDescent="0.25">
      <c r="A3553" t="s">
        <v>3718</v>
      </c>
      <c r="B3553" s="23">
        <v>20</v>
      </c>
    </row>
    <row r="3554" spans="1:2" x14ac:dyDescent="0.25">
      <c r="A3554" t="s">
        <v>3719</v>
      </c>
      <c r="B3554" s="23">
        <v>19</v>
      </c>
    </row>
    <row r="3555" spans="1:2" x14ac:dyDescent="0.25">
      <c r="A3555" t="s">
        <v>3720</v>
      </c>
      <c r="B3555" s="23">
        <v>19</v>
      </c>
    </row>
    <row r="3556" spans="1:2" x14ac:dyDescent="0.25">
      <c r="A3556" t="s">
        <v>3721</v>
      </c>
      <c r="B3556" s="23">
        <v>19</v>
      </c>
    </row>
    <row r="3557" spans="1:2" x14ac:dyDescent="0.25">
      <c r="A3557" t="s">
        <v>3722</v>
      </c>
      <c r="B3557" s="23">
        <v>19</v>
      </c>
    </row>
    <row r="3558" spans="1:2" x14ac:dyDescent="0.25">
      <c r="A3558" t="s">
        <v>3723</v>
      </c>
      <c r="B3558" s="23">
        <v>19</v>
      </c>
    </row>
    <row r="3559" spans="1:2" x14ac:dyDescent="0.25">
      <c r="A3559" t="s">
        <v>3724</v>
      </c>
      <c r="B3559" s="23">
        <v>19</v>
      </c>
    </row>
    <row r="3560" spans="1:2" x14ac:dyDescent="0.25">
      <c r="A3560" t="s">
        <v>3725</v>
      </c>
      <c r="B3560" s="23">
        <v>19</v>
      </c>
    </row>
    <row r="3561" spans="1:2" x14ac:dyDescent="0.25">
      <c r="A3561" t="s">
        <v>3726</v>
      </c>
      <c r="B3561" s="23">
        <v>19</v>
      </c>
    </row>
    <row r="3562" spans="1:2" x14ac:dyDescent="0.25">
      <c r="A3562" t="s">
        <v>3727</v>
      </c>
      <c r="B3562" s="23">
        <v>19</v>
      </c>
    </row>
    <row r="3563" spans="1:2" x14ac:dyDescent="0.25">
      <c r="A3563" t="s">
        <v>3728</v>
      </c>
      <c r="B3563" s="23">
        <v>19</v>
      </c>
    </row>
    <row r="3564" spans="1:2" x14ac:dyDescent="0.25">
      <c r="A3564" t="s">
        <v>3729</v>
      </c>
      <c r="B3564" s="23">
        <v>18</v>
      </c>
    </row>
    <row r="3565" spans="1:2" x14ac:dyDescent="0.25">
      <c r="A3565" t="s">
        <v>3730</v>
      </c>
      <c r="B3565" s="23">
        <v>18</v>
      </c>
    </row>
    <row r="3566" spans="1:2" x14ac:dyDescent="0.25">
      <c r="A3566" t="s">
        <v>3731</v>
      </c>
      <c r="B3566" s="23">
        <v>18</v>
      </c>
    </row>
    <row r="3567" spans="1:2" x14ac:dyDescent="0.25">
      <c r="A3567" t="s">
        <v>3732</v>
      </c>
      <c r="B3567" s="23">
        <v>18</v>
      </c>
    </row>
    <row r="3568" spans="1:2" x14ac:dyDescent="0.25">
      <c r="A3568" t="s">
        <v>3733</v>
      </c>
      <c r="B3568" s="23">
        <v>18</v>
      </c>
    </row>
    <row r="3569" spans="1:2" x14ac:dyDescent="0.25">
      <c r="A3569" t="s">
        <v>3734</v>
      </c>
      <c r="B3569" s="23">
        <v>18</v>
      </c>
    </row>
    <row r="3570" spans="1:2" x14ac:dyDescent="0.25">
      <c r="A3570" t="s">
        <v>3735</v>
      </c>
      <c r="B3570" s="23">
        <v>18</v>
      </c>
    </row>
    <row r="3571" spans="1:2" x14ac:dyDescent="0.25">
      <c r="A3571" t="s">
        <v>3736</v>
      </c>
      <c r="B3571" s="23">
        <v>18</v>
      </c>
    </row>
    <row r="3572" spans="1:2" x14ac:dyDescent="0.25">
      <c r="A3572" t="s">
        <v>3737</v>
      </c>
      <c r="B3572" s="23">
        <v>18</v>
      </c>
    </row>
    <row r="3573" spans="1:2" x14ac:dyDescent="0.25">
      <c r="A3573" t="s">
        <v>3738</v>
      </c>
      <c r="B3573" s="23">
        <v>18</v>
      </c>
    </row>
    <row r="3574" spans="1:2" x14ac:dyDescent="0.25">
      <c r="A3574" t="s">
        <v>3739</v>
      </c>
      <c r="B3574" s="23">
        <v>17</v>
      </c>
    </row>
    <row r="3575" spans="1:2" x14ac:dyDescent="0.25">
      <c r="A3575" t="s">
        <v>3740</v>
      </c>
      <c r="B3575" s="23">
        <v>17</v>
      </c>
    </row>
    <row r="3576" spans="1:2" x14ac:dyDescent="0.25">
      <c r="A3576" t="s">
        <v>3741</v>
      </c>
      <c r="B3576" s="23">
        <v>17</v>
      </c>
    </row>
    <row r="3577" spans="1:2" x14ac:dyDescent="0.25">
      <c r="A3577" t="s">
        <v>3742</v>
      </c>
      <c r="B3577" s="23">
        <v>17</v>
      </c>
    </row>
    <row r="3578" spans="1:2" x14ac:dyDescent="0.25">
      <c r="A3578" t="s">
        <v>3743</v>
      </c>
      <c r="B3578" s="23">
        <v>17</v>
      </c>
    </row>
    <row r="3579" spans="1:2" x14ac:dyDescent="0.25">
      <c r="A3579" t="s">
        <v>3744</v>
      </c>
      <c r="B3579" s="23">
        <v>17</v>
      </c>
    </row>
    <row r="3580" spans="1:2" x14ac:dyDescent="0.25">
      <c r="A3580" t="s">
        <v>3745</v>
      </c>
      <c r="B3580" s="23">
        <v>17</v>
      </c>
    </row>
    <row r="3581" spans="1:2" x14ac:dyDescent="0.25">
      <c r="A3581" t="s">
        <v>3746</v>
      </c>
      <c r="B3581" s="23">
        <v>17</v>
      </c>
    </row>
    <row r="3582" spans="1:2" x14ac:dyDescent="0.25">
      <c r="A3582" t="s">
        <v>3747</v>
      </c>
      <c r="B3582" s="23">
        <v>17</v>
      </c>
    </row>
    <row r="3583" spans="1:2" x14ac:dyDescent="0.25">
      <c r="A3583" t="s">
        <v>3748</v>
      </c>
      <c r="B3583" s="23">
        <v>17</v>
      </c>
    </row>
    <row r="3584" spans="1:2" x14ac:dyDescent="0.25">
      <c r="A3584" t="s">
        <v>3749</v>
      </c>
      <c r="B3584" s="23">
        <v>16</v>
      </c>
    </row>
    <row r="3585" spans="1:2" x14ac:dyDescent="0.25">
      <c r="A3585" t="s">
        <v>3750</v>
      </c>
      <c r="B3585" s="23">
        <v>16</v>
      </c>
    </row>
    <row r="3586" spans="1:2" x14ac:dyDescent="0.25">
      <c r="A3586" t="s">
        <v>3751</v>
      </c>
      <c r="B3586" s="23">
        <v>16</v>
      </c>
    </row>
    <row r="3587" spans="1:2" x14ac:dyDescent="0.25">
      <c r="A3587" t="s">
        <v>3752</v>
      </c>
      <c r="B3587" s="23">
        <v>16</v>
      </c>
    </row>
    <row r="3588" spans="1:2" x14ac:dyDescent="0.25">
      <c r="A3588" t="s">
        <v>3753</v>
      </c>
      <c r="B3588" s="23">
        <v>16</v>
      </c>
    </row>
    <row r="3589" spans="1:2" x14ac:dyDescent="0.25">
      <c r="A3589" t="s">
        <v>3754</v>
      </c>
      <c r="B3589" s="23">
        <v>16</v>
      </c>
    </row>
    <row r="3590" spans="1:2" x14ac:dyDescent="0.25">
      <c r="A3590" t="s">
        <v>3755</v>
      </c>
      <c r="B3590" s="23">
        <v>16</v>
      </c>
    </row>
    <row r="3591" spans="1:2" x14ac:dyDescent="0.25">
      <c r="A3591" t="s">
        <v>3756</v>
      </c>
      <c r="B3591" s="23">
        <v>16</v>
      </c>
    </row>
    <row r="3592" spans="1:2" x14ac:dyDescent="0.25">
      <c r="A3592" t="s">
        <v>3757</v>
      </c>
      <c r="B3592" s="23">
        <v>16</v>
      </c>
    </row>
    <row r="3593" spans="1:2" x14ac:dyDescent="0.25">
      <c r="A3593" t="s">
        <v>3758</v>
      </c>
      <c r="B3593" s="23">
        <v>16</v>
      </c>
    </row>
    <row r="3594" spans="1:2" x14ac:dyDescent="0.25">
      <c r="A3594" t="s">
        <v>3759</v>
      </c>
      <c r="B3594" s="23">
        <v>15</v>
      </c>
    </row>
    <row r="3595" spans="1:2" x14ac:dyDescent="0.25">
      <c r="A3595" t="s">
        <v>3760</v>
      </c>
      <c r="B3595" s="23">
        <v>15</v>
      </c>
    </row>
    <row r="3596" spans="1:2" x14ac:dyDescent="0.25">
      <c r="A3596" t="s">
        <v>3761</v>
      </c>
      <c r="B3596" s="23">
        <v>15</v>
      </c>
    </row>
    <row r="3597" spans="1:2" x14ac:dyDescent="0.25">
      <c r="A3597" t="s">
        <v>3762</v>
      </c>
      <c r="B3597" s="23">
        <v>15</v>
      </c>
    </row>
    <row r="3598" spans="1:2" x14ac:dyDescent="0.25">
      <c r="A3598" t="s">
        <v>3763</v>
      </c>
      <c r="B3598" s="23">
        <v>15</v>
      </c>
    </row>
    <row r="3599" spans="1:2" x14ac:dyDescent="0.25">
      <c r="A3599" t="s">
        <v>3764</v>
      </c>
      <c r="B3599" s="23">
        <v>15</v>
      </c>
    </row>
    <row r="3600" spans="1:2" x14ac:dyDescent="0.25">
      <c r="A3600" t="s">
        <v>3765</v>
      </c>
      <c r="B3600" s="23">
        <v>15</v>
      </c>
    </row>
    <row r="3601" spans="1:2" x14ac:dyDescent="0.25">
      <c r="A3601" t="s">
        <v>3766</v>
      </c>
      <c r="B3601" s="23">
        <v>15</v>
      </c>
    </row>
    <row r="3602" spans="1:2" x14ac:dyDescent="0.25">
      <c r="A3602" t="s">
        <v>3767</v>
      </c>
      <c r="B3602" s="23">
        <v>15</v>
      </c>
    </row>
    <row r="3603" spans="1:2" x14ac:dyDescent="0.25">
      <c r="A3603" t="s">
        <v>3768</v>
      </c>
      <c r="B3603" s="23">
        <v>15</v>
      </c>
    </row>
    <row r="3604" spans="1:2" x14ac:dyDescent="0.25">
      <c r="A3604" t="s">
        <v>3769</v>
      </c>
      <c r="B3604" s="23">
        <v>14</v>
      </c>
    </row>
    <row r="3605" spans="1:2" x14ac:dyDescent="0.25">
      <c r="A3605" t="s">
        <v>3770</v>
      </c>
      <c r="B3605" s="23">
        <v>14</v>
      </c>
    </row>
    <row r="3606" spans="1:2" x14ac:dyDescent="0.25">
      <c r="A3606" t="s">
        <v>3771</v>
      </c>
      <c r="B3606" s="23">
        <v>14</v>
      </c>
    </row>
    <row r="3607" spans="1:2" x14ac:dyDescent="0.25">
      <c r="A3607" t="s">
        <v>3772</v>
      </c>
      <c r="B3607" s="23">
        <v>14</v>
      </c>
    </row>
    <row r="3608" spans="1:2" x14ac:dyDescent="0.25">
      <c r="A3608" t="s">
        <v>3773</v>
      </c>
      <c r="B3608" s="23">
        <v>14</v>
      </c>
    </row>
    <row r="3609" spans="1:2" x14ac:dyDescent="0.25">
      <c r="A3609" t="s">
        <v>3774</v>
      </c>
      <c r="B3609" s="23">
        <v>14</v>
      </c>
    </row>
    <row r="3610" spans="1:2" x14ac:dyDescent="0.25">
      <c r="A3610" t="s">
        <v>3775</v>
      </c>
      <c r="B3610" s="23">
        <v>14</v>
      </c>
    </row>
    <row r="3611" spans="1:2" x14ac:dyDescent="0.25">
      <c r="A3611" t="s">
        <v>3776</v>
      </c>
      <c r="B3611" s="23">
        <v>14</v>
      </c>
    </row>
    <row r="3612" spans="1:2" x14ac:dyDescent="0.25">
      <c r="A3612" t="s">
        <v>3777</v>
      </c>
      <c r="B3612" s="23">
        <v>14</v>
      </c>
    </row>
    <row r="3613" spans="1:2" x14ac:dyDescent="0.25">
      <c r="A3613" t="s">
        <v>3778</v>
      </c>
      <c r="B3613" s="23">
        <v>14</v>
      </c>
    </row>
    <row r="3614" spans="1:2" x14ac:dyDescent="0.25">
      <c r="A3614" t="s">
        <v>3779</v>
      </c>
      <c r="B3614" s="23">
        <v>13</v>
      </c>
    </row>
    <row r="3615" spans="1:2" x14ac:dyDescent="0.25">
      <c r="A3615" t="s">
        <v>3780</v>
      </c>
      <c r="B3615" s="23">
        <v>13</v>
      </c>
    </row>
    <row r="3616" spans="1:2" x14ac:dyDescent="0.25">
      <c r="A3616" t="s">
        <v>3781</v>
      </c>
      <c r="B3616" s="23">
        <v>13</v>
      </c>
    </row>
    <row r="3617" spans="1:2" x14ac:dyDescent="0.25">
      <c r="A3617" t="s">
        <v>3782</v>
      </c>
      <c r="B3617" s="23">
        <v>13</v>
      </c>
    </row>
    <row r="3618" spans="1:2" x14ac:dyDescent="0.25">
      <c r="A3618" t="s">
        <v>3783</v>
      </c>
      <c r="B3618" s="23">
        <v>13</v>
      </c>
    </row>
    <row r="3619" spans="1:2" x14ac:dyDescent="0.25">
      <c r="A3619" t="s">
        <v>3784</v>
      </c>
      <c r="B3619" s="23">
        <v>13</v>
      </c>
    </row>
    <row r="3620" spans="1:2" x14ac:dyDescent="0.25">
      <c r="A3620" t="s">
        <v>3785</v>
      </c>
      <c r="B3620" s="23">
        <v>13</v>
      </c>
    </row>
    <row r="3621" spans="1:2" x14ac:dyDescent="0.25">
      <c r="A3621" t="s">
        <v>3786</v>
      </c>
      <c r="B3621" s="23">
        <v>13</v>
      </c>
    </row>
    <row r="3622" spans="1:2" x14ac:dyDescent="0.25">
      <c r="A3622" t="s">
        <v>3787</v>
      </c>
      <c r="B3622" s="23">
        <v>13</v>
      </c>
    </row>
    <row r="3623" spans="1:2" x14ac:dyDescent="0.25">
      <c r="A3623" t="s">
        <v>3788</v>
      </c>
      <c r="B3623" s="23">
        <v>13</v>
      </c>
    </row>
    <row r="3624" spans="1:2" x14ac:dyDescent="0.25">
      <c r="A3624" t="s">
        <v>3789</v>
      </c>
      <c r="B3624" s="23">
        <v>13</v>
      </c>
    </row>
    <row r="3625" spans="1:2" x14ac:dyDescent="0.25">
      <c r="A3625" t="s">
        <v>3790</v>
      </c>
      <c r="B3625" s="23">
        <v>13</v>
      </c>
    </row>
    <row r="3626" spans="1:2" x14ac:dyDescent="0.25">
      <c r="A3626" t="s">
        <v>3791</v>
      </c>
      <c r="B3626" s="23">
        <v>13</v>
      </c>
    </row>
    <row r="3627" spans="1:2" x14ac:dyDescent="0.25">
      <c r="A3627" t="s">
        <v>3792</v>
      </c>
      <c r="B3627" s="23">
        <v>13</v>
      </c>
    </row>
    <row r="3628" spans="1:2" x14ac:dyDescent="0.25">
      <c r="A3628" t="s">
        <v>3793</v>
      </c>
      <c r="B3628" s="23">
        <v>13</v>
      </c>
    </row>
    <row r="3629" spans="1:2" x14ac:dyDescent="0.25">
      <c r="A3629" t="s">
        <v>3794</v>
      </c>
      <c r="B3629" s="23">
        <v>13</v>
      </c>
    </row>
    <row r="3630" spans="1:2" x14ac:dyDescent="0.25">
      <c r="A3630" t="s">
        <v>3795</v>
      </c>
      <c r="B3630" s="23">
        <v>13</v>
      </c>
    </row>
    <row r="3631" spans="1:2" x14ac:dyDescent="0.25">
      <c r="A3631" t="s">
        <v>3796</v>
      </c>
      <c r="B3631" s="23">
        <v>13</v>
      </c>
    </row>
    <row r="3632" spans="1:2" x14ac:dyDescent="0.25">
      <c r="A3632" t="s">
        <v>3797</v>
      </c>
      <c r="B3632" s="23">
        <v>13</v>
      </c>
    </row>
    <row r="3633" spans="1:2" x14ac:dyDescent="0.25">
      <c r="A3633" t="s">
        <v>3798</v>
      </c>
      <c r="B3633" s="23">
        <v>13</v>
      </c>
    </row>
    <row r="3634" spans="1:2" x14ac:dyDescent="0.25">
      <c r="A3634" t="s">
        <v>3799</v>
      </c>
      <c r="B3634" s="23">
        <v>12</v>
      </c>
    </row>
    <row r="3635" spans="1:2" x14ac:dyDescent="0.25">
      <c r="A3635" t="s">
        <v>3800</v>
      </c>
      <c r="B3635" s="23">
        <v>12</v>
      </c>
    </row>
    <row r="3636" spans="1:2" x14ac:dyDescent="0.25">
      <c r="A3636" t="s">
        <v>3801</v>
      </c>
      <c r="B3636" s="23">
        <v>12</v>
      </c>
    </row>
    <row r="3637" spans="1:2" x14ac:dyDescent="0.25">
      <c r="A3637" t="s">
        <v>3802</v>
      </c>
      <c r="B3637" s="23">
        <v>12</v>
      </c>
    </row>
    <row r="3638" spans="1:2" x14ac:dyDescent="0.25">
      <c r="A3638" t="s">
        <v>3803</v>
      </c>
      <c r="B3638" s="23">
        <v>12</v>
      </c>
    </row>
    <row r="3639" spans="1:2" x14ac:dyDescent="0.25">
      <c r="A3639" t="s">
        <v>3804</v>
      </c>
      <c r="B3639" s="23">
        <v>12</v>
      </c>
    </row>
    <row r="3640" spans="1:2" x14ac:dyDescent="0.25">
      <c r="A3640" t="s">
        <v>3805</v>
      </c>
      <c r="B3640" s="23">
        <v>12</v>
      </c>
    </row>
    <row r="3641" spans="1:2" x14ac:dyDescent="0.25">
      <c r="A3641" t="s">
        <v>3806</v>
      </c>
      <c r="B3641" s="23">
        <v>12</v>
      </c>
    </row>
    <row r="3642" spans="1:2" x14ac:dyDescent="0.25">
      <c r="A3642" t="s">
        <v>3807</v>
      </c>
      <c r="B3642" s="23">
        <v>12</v>
      </c>
    </row>
    <row r="3643" spans="1:2" x14ac:dyDescent="0.25">
      <c r="A3643" t="s">
        <v>3808</v>
      </c>
      <c r="B3643" s="23">
        <v>12</v>
      </c>
    </row>
    <row r="3644" spans="1:2" x14ac:dyDescent="0.25">
      <c r="A3644" t="s">
        <v>3809</v>
      </c>
      <c r="B3644" s="23">
        <v>12</v>
      </c>
    </row>
    <row r="3645" spans="1:2" x14ac:dyDescent="0.25">
      <c r="A3645" t="s">
        <v>3810</v>
      </c>
      <c r="B3645" s="23">
        <v>12</v>
      </c>
    </row>
    <row r="3646" spans="1:2" x14ac:dyDescent="0.25">
      <c r="A3646" t="s">
        <v>3811</v>
      </c>
      <c r="B3646" s="23">
        <v>12</v>
      </c>
    </row>
    <row r="3647" spans="1:2" x14ac:dyDescent="0.25">
      <c r="A3647" t="s">
        <v>3812</v>
      </c>
      <c r="B3647" s="23">
        <v>12</v>
      </c>
    </row>
    <row r="3648" spans="1:2" x14ac:dyDescent="0.25">
      <c r="A3648" t="s">
        <v>3813</v>
      </c>
      <c r="B3648" s="23">
        <v>12</v>
      </c>
    </row>
    <row r="3649" spans="1:2" x14ac:dyDescent="0.25">
      <c r="A3649" t="s">
        <v>3814</v>
      </c>
      <c r="B3649" s="23">
        <v>12</v>
      </c>
    </row>
    <row r="3650" spans="1:2" x14ac:dyDescent="0.25">
      <c r="A3650" t="s">
        <v>3815</v>
      </c>
      <c r="B3650" s="23">
        <v>12</v>
      </c>
    </row>
    <row r="3651" spans="1:2" x14ac:dyDescent="0.25">
      <c r="A3651" t="s">
        <v>3816</v>
      </c>
      <c r="B3651" s="23">
        <v>12</v>
      </c>
    </row>
    <row r="3652" spans="1:2" x14ac:dyDescent="0.25">
      <c r="A3652" t="s">
        <v>3817</v>
      </c>
      <c r="B3652" s="23">
        <v>12</v>
      </c>
    </row>
    <row r="3653" spans="1:2" x14ac:dyDescent="0.25">
      <c r="A3653" t="s">
        <v>3818</v>
      </c>
      <c r="B3653" s="23">
        <v>12</v>
      </c>
    </row>
    <row r="3654" spans="1:2" x14ac:dyDescent="0.25">
      <c r="A3654" t="s">
        <v>3819</v>
      </c>
      <c r="B3654" s="23">
        <v>11</v>
      </c>
    </row>
    <row r="3655" spans="1:2" x14ac:dyDescent="0.25">
      <c r="A3655" t="s">
        <v>3820</v>
      </c>
      <c r="B3655" s="23">
        <v>11</v>
      </c>
    </row>
    <row r="3656" spans="1:2" x14ac:dyDescent="0.25">
      <c r="A3656" t="s">
        <v>3821</v>
      </c>
      <c r="B3656" s="23">
        <v>11</v>
      </c>
    </row>
    <row r="3657" spans="1:2" x14ac:dyDescent="0.25">
      <c r="A3657" t="s">
        <v>3822</v>
      </c>
      <c r="B3657" s="23">
        <v>11</v>
      </c>
    </row>
    <row r="3658" spans="1:2" x14ac:dyDescent="0.25">
      <c r="A3658" t="s">
        <v>3823</v>
      </c>
      <c r="B3658" s="23">
        <v>11</v>
      </c>
    </row>
    <row r="3659" spans="1:2" x14ac:dyDescent="0.25">
      <c r="A3659" t="s">
        <v>3824</v>
      </c>
      <c r="B3659" s="23">
        <v>11</v>
      </c>
    </row>
    <row r="3660" spans="1:2" x14ac:dyDescent="0.25">
      <c r="A3660" t="s">
        <v>3825</v>
      </c>
      <c r="B3660" s="23">
        <v>11</v>
      </c>
    </row>
    <row r="3661" spans="1:2" x14ac:dyDescent="0.25">
      <c r="A3661" t="s">
        <v>3826</v>
      </c>
      <c r="B3661" s="23">
        <v>11</v>
      </c>
    </row>
    <row r="3662" spans="1:2" x14ac:dyDescent="0.25">
      <c r="A3662" t="s">
        <v>3827</v>
      </c>
      <c r="B3662" s="23">
        <v>11</v>
      </c>
    </row>
    <row r="3663" spans="1:2" x14ac:dyDescent="0.25">
      <c r="A3663" t="s">
        <v>3828</v>
      </c>
      <c r="B3663" s="23">
        <v>11</v>
      </c>
    </row>
    <row r="3664" spans="1:2" x14ac:dyDescent="0.25">
      <c r="A3664" t="s">
        <v>3829</v>
      </c>
      <c r="B3664" s="23">
        <v>11</v>
      </c>
    </row>
    <row r="3665" spans="1:2" x14ac:dyDescent="0.25">
      <c r="A3665" t="s">
        <v>3830</v>
      </c>
      <c r="B3665" s="23">
        <v>11</v>
      </c>
    </row>
    <row r="3666" spans="1:2" x14ac:dyDescent="0.25">
      <c r="A3666" t="s">
        <v>3831</v>
      </c>
      <c r="B3666" s="23">
        <v>11</v>
      </c>
    </row>
    <row r="3667" spans="1:2" x14ac:dyDescent="0.25">
      <c r="A3667" t="s">
        <v>3832</v>
      </c>
      <c r="B3667" s="23">
        <v>11</v>
      </c>
    </row>
    <row r="3668" spans="1:2" x14ac:dyDescent="0.25">
      <c r="A3668" t="s">
        <v>3833</v>
      </c>
      <c r="B3668" s="23">
        <v>11</v>
      </c>
    </row>
    <row r="3669" spans="1:2" x14ac:dyDescent="0.25">
      <c r="A3669" t="s">
        <v>3834</v>
      </c>
      <c r="B3669" s="23">
        <v>11</v>
      </c>
    </row>
    <row r="3670" spans="1:2" x14ac:dyDescent="0.25">
      <c r="A3670" t="s">
        <v>3835</v>
      </c>
      <c r="B3670" s="23">
        <v>11</v>
      </c>
    </row>
    <row r="3671" spans="1:2" x14ac:dyDescent="0.25">
      <c r="A3671" t="s">
        <v>3836</v>
      </c>
      <c r="B3671" s="23">
        <v>11</v>
      </c>
    </row>
    <row r="3672" spans="1:2" x14ac:dyDescent="0.25">
      <c r="A3672" t="s">
        <v>3837</v>
      </c>
      <c r="B3672" s="23">
        <v>11</v>
      </c>
    </row>
    <row r="3673" spans="1:2" x14ac:dyDescent="0.25">
      <c r="A3673" t="s">
        <v>3838</v>
      </c>
      <c r="B3673" s="23">
        <v>11</v>
      </c>
    </row>
    <row r="3674" spans="1:2" x14ac:dyDescent="0.25">
      <c r="A3674" t="s">
        <v>3839</v>
      </c>
      <c r="B3674" s="23">
        <v>10</v>
      </c>
    </row>
    <row r="3675" spans="1:2" x14ac:dyDescent="0.25">
      <c r="A3675" t="s">
        <v>3840</v>
      </c>
      <c r="B3675" s="23">
        <v>10</v>
      </c>
    </row>
    <row r="3676" spans="1:2" x14ac:dyDescent="0.25">
      <c r="A3676" t="s">
        <v>3841</v>
      </c>
      <c r="B3676" s="23">
        <v>10</v>
      </c>
    </row>
    <row r="3677" spans="1:2" x14ac:dyDescent="0.25">
      <c r="A3677" t="s">
        <v>3842</v>
      </c>
      <c r="B3677" s="23">
        <v>10</v>
      </c>
    </row>
    <row r="3678" spans="1:2" x14ac:dyDescent="0.25">
      <c r="A3678" t="s">
        <v>3843</v>
      </c>
      <c r="B3678" s="23">
        <v>10</v>
      </c>
    </row>
    <row r="3679" spans="1:2" x14ac:dyDescent="0.25">
      <c r="A3679" t="s">
        <v>3844</v>
      </c>
      <c r="B3679" s="23">
        <v>10</v>
      </c>
    </row>
    <row r="3680" spans="1:2" x14ac:dyDescent="0.25">
      <c r="A3680" t="s">
        <v>3845</v>
      </c>
      <c r="B3680" s="23">
        <v>10</v>
      </c>
    </row>
    <row r="3681" spans="1:2" x14ac:dyDescent="0.25">
      <c r="A3681" t="s">
        <v>3846</v>
      </c>
      <c r="B3681" s="23">
        <v>10</v>
      </c>
    </row>
    <row r="3682" spans="1:2" x14ac:dyDescent="0.25">
      <c r="A3682" t="s">
        <v>3847</v>
      </c>
      <c r="B3682" s="23">
        <v>10</v>
      </c>
    </row>
    <row r="3683" spans="1:2" x14ac:dyDescent="0.25">
      <c r="A3683" t="s">
        <v>3848</v>
      </c>
      <c r="B3683" s="23">
        <v>10</v>
      </c>
    </row>
    <row r="3684" spans="1:2" x14ac:dyDescent="0.25">
      <c r="A3684" t="s">
        <v>3849</v>
      </c>
      <c r="B3684" s="23">
        <v>10</v>
      </c>
    </row>
    <row r="3685" spans="1:2" x14ac:dyDescent="0.25">
      <c r="A3685" t="s">
        <v>3850</v>
      </c>
      <c r="B3685" s="23">
        <v>10</v>
      </c>
    </row>
    <row r="3686" spans="1:2" x14ac:dyDescent="0.25">
      <c r="A3686" t="s">
        <v>3851</v>
      </c>
      <c r="B3686" s="23">
        <v>10</v>
      </c>
    </row>
    <row r="3687" spans="1:2" x14ac:dyDescent="0.25">
      <c r="A3687" t="s">
        <v>3852</v>
      </c>
      <c r="B3687" s="23">
        <v>10</v>
      </c>
    </row>
    <row r="3688" spans="1:2" x14ac:dyDescent="0.25">
      <c r="A3688" t="s">
        <v>3853</v>
      </c>
      <c r="B3688" s="23">
        <v>10</v>
      </c>
    </row>
    <row r="3689" spans="1:2" x14ac:dyDescent="0.25">
      <c r="A3689" t="s">
        <v>3854</v>
      </c>
      <c r="B3689" s="23">
        <v>10</v>
      </c>
    </row>
    <row r="3690" spans="1:2" x14ac:dyDescent="0.25">
      <c r="A3690" t="s">
        <v>3855</v>
      </c>
      <c r="B3690" s="23">
        <v>10</v>
      </c>
    </row>
    <row r="3691" spans="1:2" x14ac:dyDescent="0.25">
      <c r="A3691" t="s">
        <v>3856</v>
      </c>
      <c r="B3691" s="23">
        <v>10</v>
      </c>
    </row>
    <row r="3692" spans="1:2" x14ac:dyDescent="0.25">
      <c r="A3692" t="s">
        <v>3857</v>
      </c>
      <c r="B3692" s="23">
        <v>10</v>
      </c>
    </row>
    <row r="3693" spans="1:2" x14ac:dyDescent="0.25">
      <c r="A3693" t="s">
        <v>3858</v>
      </c>
      <c r="B3693" s="23">
        <v>10</v>
      </c>
    </row>
    <row r="3694" spans="1:2" x14ac:dyDescent="0.25">
      <c r="A3694" t="s">
        <v>3859</v>
      </c>
      <c r="B3694" s="23">
        <v>9</v>
      </c>
    </row>
    <row r="3695" spans="1:2" x14ac:dyDescent="0.25">
      <c r="A3695" t="s">
        <v>3860</v>
      </c>
      <c r="B3695" s="23">
        <v>9</v>
      </c>
    </row>
    <row r="3696" spans="1:2" x14ac:dyDescent="0.25">
      <c r="A3696" t="s">
        <v>3861</v>
      </c>
      <c r="B3696" s="23">
        <v>9</v>
      </c>
    </row>
    <row r="3697" spans="1:2" x14ac:dyDescent="0.25">
      <c r="A3697" t="s">
        <v>3862</v>
      </c>
      <c r="B3697" s="23">
        <v>9</v>
      </c>
    </row>
    <row r="3698" spans="1:2" x14ac:dyDescent="0.25">
      <c r="A3698" t="s">
        <v>3863</v>
      </c>
      <c r="B3698" s="23">
        <v>9</v>
      </c>
    </row>
    <row r="3699" spans="1:2" x14ac:dyDescent="0.25">
      <c r="A3699" t="s">
        <v>3864</v>
      </c>
      <c r="B3699" s="23">
        <v>9</v>
      </c>
    </row>
    <row r="3700" spans="1:2" x14ac:dyDescent="0.25">
      <c r="A3700" t="s">
        <v>3865</v>
      </c>
      <c r="B3700" s="23">
        <v>9</v>
      </c>
    </row>
    <row r="3701" spans="1:2" x14ac:dyDescent="0.25">
      <c r="A3701" t="s">
        <v>3866</v>
      </c>
      <c r="B3701" s="23">
        <v>9</v>
      </c>
    </row>
    <row r="3702" spans="1:2" x14ac:dyDescent="0.25">
      <c r="A3702" t="s">
        <v>3867</v>
      </c>
      <c r="B3702" s="23">
        <v>9</v>
      </c>
    </row>
    <row r="3703" spans="1:2" x14ac:dyDescent="0.25">
      <c r="A3703" t="s">
        <v>3868</v>
      </c>
      <c r="B3703" s="23">
        <v>9</v>
      </c>
    </row>
    <row r="3704" spans="1:2" x14ac:dyDescent="0.25">
      <c r="A3704" t="s">
        <v>3869</v>
      </c>
      <c r="B3704" s="23">
        <v>9</v>
      </c>
    </row>
    <row r="3705" spans="1:2" x14ac:dyDescent="0.25">
      <c r="A3705" t="s">
        <v>3870</v>
      </c>
      <c r="B3705" s="23">
        <v>9</v>
      </c>
    </row>
    <row r="3706" spans="1:2" x14ac:dyDescent="0.25">
      <c r="A3706" t="s">
        <v>3871</v>
      </c>
      <c r="B3706" s="23">
        <v>9</v>
      </c>
    </row>
    <row r="3707" spans="1:2" x14ac:dyDescent="0.25">
      <c r="A3707" t="s">
        <v>3872</v>
      </c>
      <c r="B3707" s="23">
        <v>9</v>
      </c>
    </row>
    <row r="3708" spans="1:2" x14ac:dyDescent="0.25">
      <c r="A3708" t="s">
        <v>3873</v>
      </c>
      <c r="B3708" s="23">
        <v>9</v>
      </c>
    </row>
    <row r="3709" spans="1:2" x14ac:dyDescent="0.25">
      <c r="A3709" t="s">
        <v>3874</v>
      </c>
      <c r="B3709" s="23">
        <v>9</v>
      </c>
    </row>
    <row r="3710" spans="1:2" x14ac:dyDescent="0.25">
      <c r="A3710" t="s">
        <v>3875</v>
      </c>
      <c r="B3710" s="23">
        <v>9</v>
      </c>
    </row>
    <row r="3711" spans="1:2" x14ac:dyDescent="0.25">
      <c r="A3711" t="s">
        <v>3876</v>
      </c>
      <c r="B3711" s="23">
        <v>9</v>
      </c>
    </row>
    <row r="3712" spans="1:2" x14ac:dyDescent="0.25">
      <c r="A3712" t="s">
        <v>3877</v>
      </c>
      <c r="B3712" s="23">
        <v>9</v>
      </c>
    </row>
    <row r="3713" spans="1:2" x14ac:dyDescent="0.25">
      <c r="A3713" t="s">
        <v>3878</v>
      </c>
      <c r="B3713" s="23">
        <v>9</v>
      </c>
    </row>
    <row r="3714" spans="1:2" x14ac:dyDescent="0.25">
      <c r="A3714" t="s">
        <v>3879</v>
      </c>
      <c r="B3714" s="23">
        <v>8</v>
      </c>
    </row>
    <row r="3715" spans="1:2" x14ac:dyDescent="0.25">
      <c r="A3715" t="s">
        <v>3880</v>
      </c>
      <c r="B3715" s="23">
        <v>8</v>
      </c>
    </row>
    <row r="3716" spans="1:2" x14ac:dyDescent="0.25">
      <c r="A3716" t="s">
        <v>3881</v>
      </c>
      <c r="B3716" s="23">
        <v>8</v>
      </c>
    </row>
    <row r="3717" spans="1:2" x14ac:dyDescent="0.25">
      <c r="A3717" t="s">
        <v>3882</v>
      </c>
      <c r="B3717" s="23">
        <v>8</v>
      </c>
    </row>
    <row r="3718" spans="1:2" x14ac:dyDescent="0.25">
      <c r="A3718" t="s">
        <v>3883</v>
      </c>
      <c r="B3718" s="23">
        <v>8</v>
      </c>
    </row>
    <row r="3719" spans="1:2" x14ac:dyDescent="0.25">
      <c r="A3719" t="s">
        <v>3884</v>
      </c>
      <c r="B3719" s="23">
        <v>8</v>
      </c>
    </row>
    <row r="3720" spans="1:2" x14ac:dyDescent="0.25">
      <c r="A3720" t="s">
        <v>3885</v>
      </c>
      <c r="B3720" s="23">
        <v>8</v>
      </c>
    </row>
    <row r="3721" spans="1:2" x14ac:dyDescent="0.25">
      <c r="A3721" t="s">
        <v>3886</v>
      </c>
      <c r="B3721" s="23">
        <v>8</v>
      </c>
    </row>
    <row r="3722" spans="1:2" x14ac:dyDescent="0.25">
      <c r="A3722" t="s">
        <v>3887</v>
      </c>
      <c r="B3722" s="23">
        <v>8</v>
      </c>
    </row>
    <row r="3723" spans="1:2" x14ac:dyDescent="0.25">
      <c r="A3723" t="s">
        <v>3888</v>
      </c>
      <c r="B3723" s="23">
        <v>8</v>
      </c>
    </row>
    <row r="3724" spans="1:2" x14ac:dyDescent="0.25">
      <c r="A3724" t="s">
        <v>3889</v>
      </c>
      <c r="B3724" s="23">
        <v>7</v>
      </c>
    </row>
    <row r="3725" spans="1:2" x14ac:dyDescent="0.25">
      <c r="A3725" t="s">
        <v>3890</v>
      </c>
      <c r="B3725" s="23">
        <v>7</v>
      </c>
    </row>
    <row r="3726" spans="1:2" x14ac:dyDescent="0.25">
      <c r="A3726" t="s">
        <v>3891</v>
      </c>
      <c r="B3726" s="23">
        <v>7</v>
      </c>
    </row>
    <row r="3727" spans="1:2" x14ac:dyDescent="0.25">
      <c r="A3727" t="s">
        <v>3892</v>
      </c>
      <c r="B3727" s="23">
        <v>7</v>
      </c>
    </row>
    <row r="3728" spans="1:2" x14ac:dyDescent="0.25">
      <c r="A3728" t="s">
        <v>3893</v>
      </c>
      <c r="B3728" s="23">
        <v>7</v>
      </c>
    </row>
    <row r="3729" spans="1:2" x14ac:dyDescent="0.25">
      <c r="A3729" t="s">
        <v>3894</v>
      </c>
      <c r="B3729" s="23">
        <v>7</v>
      </c>
    </row>
    <row r="3730" spans="1:2" x14ac:dyDescent="0.25">
      <c r="A3730" t="s">
        <v>3895</v>
      </c>
      <c r="B3730" s="23">
        <v>7</v>
      </c>
    </row>
    <row r="3731" spans="1:2" x14ac:dyDescent="0.25">
      <c r="A3731" t="s">
        <v>3896</v>
      </c>
      <c r="B3731" s="23">
        <v>7</v>
      </c>
    </row>
    <row r="3732" spans="1:2" x14ac:dyDescent="0.25">
      <c r="A3732" t="s">
        <v>3897</v>
      </c>
      <c r="B3732" s="23">
        <v>7</v>
      </c>
    </row>
    <row r="3733" spans="1:2" x14ac:dyDescent="0.25">
      <c r="A3733" t="s">
        <v>3898</v>
      </c>
      <c r="B3733" s="23">
        <v>7</v>
      </c>
    </row>
    <row r="3734" spans="1:2" x14ac:dyDescent="0.25">
      <c r="A3734" t="s">
        <v>3899</v>
      </c>
      <c r="B3734" s="23">
        <v>6</v>
      </c>
    </row>
    <row r="3735" spans="1:2" x14ac:dyDescent="0.25">
      <c r="A3735" t="s">
        <v>3900</v>
      </c>
      <c r="B3735" s="23">
        <v>6</v>
      </c>
    </row>
    <row r="3736" spans="1:2" x14ac:dyDescent="0.25">
      <c r="A3736" t="s">
        <v>3901</v>
      </c>
      <c r="B3736" s="23">
        <v>6</v>
      </c>
    </row>
    <row r="3737" spans="1:2" x14ac:dyDescent="0.25">
      <c r="A3737" t="s">
        <v>3902</v>
      </c>
      <c r="B3737" s="23">
        <v>6</v>
      </c>
    </row>
    <row r="3738" spans="1:2" x14ac:dyDescent="0.25">
      <c r="A3738" t="s">
        <v>3903</v>
      </c>
      <c r="B3738" s="23">
        <v>6</v>
      </c>
    </row>
    <row r="3739" spans="1:2" x14ac:dyDescent="0.25">
      <c r="A3739" t="s">
        <v>3904</v>
      </c>
      <c r="B3739" s="23">
        <v>6</v>
      </c>
    </row>
    <row r="3740" spans="1:2" x14ac:dyDescent="0.25">
      <c r="A3740" t="s">
        <v>3905</v>
      </c>
      <c r="B3740" s="23">
        <v>6</v>
      </c>
    </row>
    <row r="3741" spans="1:2" x14ac:dyDescent="0.25">
      <c r="A3741" t="s">
        <v>3906</v>
      </c>
      <c r="B3741" s="23">
        <v>6</v>
      </c>
    </row>
    <row r="3742" spans="1:2" x14ac:dyDescent="0.25">
      <c r="A3742" t="s">
        <v>3907</v>
      </c>
      <c r="B3742" s="23">
        <v>6</v>
      </c>
    </row>
    <row r="3743" spans="1:2" x14ac:dyDescent="0.25">
      <c r="A3743" t="s">
        <v>3908</v>
      </c>
      <c r="B3743" s="23">
        <v>6</v>
      </c>
    </row>
    <row r="3744" spans="1:2" x14ac:dyDescent="0.25">
      <c r="A3744" t="s">
        <v>3909</v>
      </c>
      <c r="B3744" s="23">
        <v>5</v>
      </c>
    </row>
    <row r="3745" spans="1:2" x14ac:dyDescent="0.25">
      <c r="A3745" t="s">
        <v>3910</v>
      </c>
      <c r="B3745" s="23">
        <v>5</v>
      </c>
    </row>
    <row r="3746" spans="1:2" x14ac:dyDescent="0.25">
      <c r="A3746" t="s">
        <v>3911</v>
      </c>
      <c r="B3746" s="23">
        <v>5</v>
      </c>
    </row>
    <row r="3747" spans="1:2" x14ac:dyDescent="0.25">
      <c r="A3747" t="s">
        <v>3912</v>
      </c>
      <c r="B3747" s="23">
        <v>5</v>
      </c>
    </row>
    <row r="3748" spans="1:2" x14ac:dyDescent="0.25">
      <c r="A3748" t="s">
        <v>3913</v>
      </c>
      <c r="B3748" s="23">
        <v>5</v>
      </c>
    </row>
    <row r="3749" spans="1:2" x14ac:dyDescent="0.25">
      <c r="A3749" t="s">
        <v>3914</v>
      </c>
      <c r="B3749" s="23">
        <v>5</v>
      </c>
    </row>
    <row r="3750" spans="1:2" x14ac:dyDescent="0.25">
      <c r="A3750" t="s">
        <v>3915</v>
      </c>
      <c r="B3750" s="23">
        <v>5</v>
      </c>
    </row>
    <row r="3751" spans="1:2" x14ac:dyDescent="0.25">
      <c r="A3751" t="s">
        <v>3916</v>
      </c>
      <c r="B3751" s="23">
        <v>5</v>
      </c>
    </row>
    <row r="3752" spans="1:2" x14ac:dyDescent="0.25">
      <c r="A3752" t="s">
        <v>3917</v>
      </c>
      <c r="B3752" s="23">
        <v>5</v>
      </c>
    </row>
    <row r="3753" spans="1:2" x14ac:dyDescent="0.25">
      <c r="A3753" t="s">
        <v>3918</v>
      </c>
      <c r="B3753" s="23">
        <v>5</v>
      </c>
    </row>
    <row r="3754" spans="1:2" x14ac:dyDescent="0.25">
      <c r="A3754" t="s">
        <v>3919</v>
      </c>
      <c r="B3754" s="23">
        <v>4</v>
      </c>
    </row>
    <row r="3755" spans="1:2" x14ac:dyDescent="0.25">
      <c r="A3755" t="s">
        <v>3920</v>
      </c>
      <c r="B3755" s="23">
        <v>4</v>
      </c>
    </row>
    <row r="3756" spans="1:2" x14ac:dyDescent="0.25">
      <c r="A3756" t="s">
        <v>3921</v>
      </c>
      <c r="B3756" s="23">
        <v>4</v>
      </c>
    </row>
    <row r="3757" spans="1:2" x14ac:dyDescent="0.25">
      <c r="A3757" t="s">
        <v>3922</v>
      </c>
      <c r="B3757" s="23">
        <v>4</v>
      </c>
    </row>
    <row r="3758" spans="1:2" x14ac:dyDescent="0.25">
      <c r="A3758" t="s">
        <v>3923</v>
      </c>
      <c r="B3758" s="23">
        <v>4</v>
      </c>
    </row>
    <row r="3759" spans="1:2" x14ac:dyDescent="0.25">
      <c r="A3759" t="s">
        <v>3924</v>
      </c>
      <c r="B3759" s="23">
        <v>4</v>
      </c>
    </row>
    <row r="3760" spans="1:2" x14ac:dyDescent="0.25">
      <c r="A3760" t="s">
        <v>3925</v>
      </c>
      <c r="B3760" s="23">
        <v>4</v>
      </c>
    </row>
    <row r="3761" spans="1:2" x14ac:dyDescent="0.25">
      <c r="A3761" t="s">
        <v>3926</v>
      </c>
      <c r="B3761" s="23">
        <v>4</v>
      </c>
    </row>
    <row r="3762" spans="1:2" x14ac:dyDescent="0.25">
      <c r="A3762" t="s">
        <v>3927</v>
      </c>
      <c r="B3762" s="23">
        <v>4</v>
      </c>
    </row>
    <row r="3763" spans="1:2" x14ac:dyDescent="0.25">
      <c r="A3763" t="s">
        <v>3928</v>
      </c>
      <c r="B3763" s="23">
        <v>4</v>
      </c>
    </row>
    <row r="3764" spans="1:2" x14ac:dyDescent="0.25">
      <c r="A3764" t="s">
        <v>3929</v>
      </c>
      <c r="B3764" s="23">
        <v>3</v>
      </c>
    </row>
    <row r="3765" spans="1:2" x14ac:dyDescent="0.25">
      <c r="A3765" t="s">
        <v>3930</v>
      </c>
      <c r="B3765" s="23">
        <v>3</v>
      </c>
    </row>
    <row r="3766" spans="1:2" x14ac:dyDescent="0.25">
      <c r="A3766" t="s">
        <v>3931</v>
      </c>
      <c r="B3766" s="23">
        <v>3</v>
      </c>
    </row>
    <row r="3767" spans="1:2" x14ac:dyDescent="0.25">
      <c r="A3767" t="s">
        <v>3932</v>
      </c>
      <c r="B3767" s="23">
        <v>3</v>
      </c>
    </row>
    <row r="3768" spans="1:2" x14ac:dyDescent="0.25">
      <c r="A3768" t="s">
        <v>3933</v>
      </c>
      <c r="B3768" s="23">
        <v>3</v>
      </c>
    </row>
    <row r="3769" spans="1:2" x14ac:dyDescent="0.25">
      <c r="A3769" t="s">
        <v>3934</v>
      </c>
      <c r="B3769" s="23">
        <v>3</v>
      </c>
    </row>
    <row r="3770" spans="1:2" x14ac:dyDescent="0.25">
      <c r="A3770" t="s">
        <v>3935</v>
      </c>
      <c r="B3770" s="23">
        <v>3</v>
      </c>
    </row>
    <row r="3771" spans="1:2" x14ac:dyDescent="0.25">
      <c r="A3771" t="s">
        <v>3936</v>
      </c>
      <c r="B3771" s="23">
        <v>3</v>
      </c>
    </row>
    <row r="3772" spans="1:2" x14ac:dyDescent="0.25">
      <c r="A3772" t="s">
        <v>3937</v>
      </c>
      <c r="B3772" s="23">
        <v>3</v>
      </c>
    </row>
    <row r="3773" spans="1:2" x14ac:dyDescent="0.25">
      <c r="A3773" t="s">
        <v>3938</v>
      </c>
      <c r="B3773" s="23">
        <v>3</v>
      </c>
    </row>
    <row r="3774" spans="1:2" x14ac:dyDescent="0.25">
      <c r="A3774" t="s">
        <v>3939</v>
      </c>
      <c r="B3774" s="23">
        <v>2</v>
      </c>
    </row>
    <row r="3775" spans="1:2" x14ac:dyDescent="0.25">
      <c r="A3775" t="s">
        <v>3940</v>
      </c>
      <c r="B3775" s="23">
        <v>2</v>
      </c>
    </row>
    <row r="3776" spans="1:2" x14ac:dyDescent="0.25">
      <c r="A3776" t="s">
        <v>3941</v>
      </c>
      <c r="B3776" s="23">
        <v>2</v>
      </c>
    </row>
    <row r="3777" spans="1:2" x14ac:dyDescent="0.25">
      <c r="A3777" t="s">
        <v>3942</v>
      </c>
      <c r="B3777" s="23">
        <v>2</v>
      </c>
    </row>
    <row r="3778" spans="1:2" x14ac:dyDescent="0.25">
      <c r="A3778" t="s">
        <v>3943</v>
      </c>
      <c r="B3778" s="23">
        <v>2</v>
      </c>
    </row>
    <row r="3779" spans="1:2" x14ac:dyDescent="0.25">
      <c r="A3779" t="s">
        <v>3944</v>
      </c>
      <c r="B3779" s="23">
        <v>2</v>
      </c>
    </row>
    <row r="3780" spans="1:2" x14ac:dyDescent="0.25">
      <c r="A3780" t="s">
        <v>3945</v>
      </c>
      <c r="B3780" s="23">
        <v>2</v>
      </c>
    </row>
    <row r="3781" spans="1:2" x14ac:dyDescent="0.25">
      <c r="A3781" t="s">
        <v>3946</v>
      </c>
      <c r="B3781" s="23">
        <v>2</v>
      </c>
    </row>
    <row r="3782" spans="1:2" x14ac:dyDescent="0.25">
      <c r="A3782" t="s">
        <v>3947</v>
      </c>
      <c r="B3782" s="23">
        <v>2</v>
      </c>
    </row>
    <row r="3783" spans="1:2" x14ac:dyDescent="0.25">
      <c r="A3783" t="s">
        <v>3948</v>
      </c>
      <c r="B3783" s="23">
        <v>2</v>
      </c>
    </row>
    <row r="3784" spans="1:2" x14ac:dyDescent="0.25">
      <c r="A3784" t="s">
        <v>3949</v>
      </c>
      <c r="B3784" s="23">
        <v>2</v>
      </c>
    </row>
    <row r="3785" spans="1:2" x14ac:dyDescent="0.25">
      <c r="A3785" t="s">
        <v>3950</v>
      </c>
      <c r="B3785" s="23">
        <v>2</v>
      </c>
    </row>
    <row r="3786" spans="1:2" x14ac:dyDescent="0.25">
      <c r="A3786" t="s">
        <v>3951</v>
      </c>
      <c r="B3786" s="23">
        <v>2</v>
      </c>
    </row>
    <row r="3787" spans="1:2" x14ac:dyDescent="0.25">
      <c r="A3787" t="s">
        <v>3952</v>
      </c>
      <c r="B3787" s="23">
        <v>2</v>
      </c>
    </row>
    <row r="3788" spans="1:2" x14ac:dyDescent="0.25">
      <c r="A3788" t="s">
        <v>3953</v>
      </c>
      <c r="B3788" s="23">
        <v>2</v>
      </c>
    </row>
    <row r="3789" spans="1:2" x14ac:dyDescent="0.25">
      <c r="A3789" t="s">
        <v>3954</v>
      </c>
      <c r="B3789" s="23">
        <v>2</v>
      </c>
    </row>
    <row r="3790" spans="1:2" x14ac:dyDescent="0.25">
      <c r="A3790" t="s">
        <v>3955</v>
      </c>
      <c r="B3790" s="23">
        <v>2</v>
      </c>
    </row>
    <row r="3791" spans="1:2" x14ac:dyDescent="0.25">
      <c r="A3791" t="s">
        <v>3956</v>
      </c>
      <c r="B3791" s="23">
        <v>2</v>
      </c>
    </row>
    <row r="3792" spans="1:2" x14ac:dyDescent="0.25">
      <c r="A3792" t="s">
        <v>3957</v>
      </c>
      <c r="B3792" s="23">
        <v>2</v>
      </c>
    </row>
    <row r="3793" spans="1:2" x14ac:dyDescent="0.25">
      <c r="A3793" t="s">
        <v>3958</v>
      </c>
      <c r="B3793" s="23">
        <v>2</v>
      </c>
    </row>
    <row r="3794" spans="1:2" x14ac:dyDescent="0.25">
      <c r="A3794" t="s">
        <v>3959</v>
      </c>
      <c r="B3794" s="23">
        <v>1</v>
      </c>
    </row>
    <row r="3795" spans="1:2" x14ac:dyDescent="0.25">
      <c r="A3795" t="s">
        <v>3960</v>
      </c>
      <c r="B3795" s="23">
        <v>1</v>
      </c>
    </row>
    <row r="3796" spans="1:2" x14ac:dyDescent="0.25">
      <c r="A3796" t="s">
        <v>3961</v>
      </c>
      <c r="B3796" s="23">
        <v>1</v>
      </c>
    </row>
    <row r="3797" spans="1:2" x14ac:dyDescent="0.25">
      <c r="A3797" t="s">
        <v>3962</v>
      </c>
      <c r="B3797" s="23">
        <v>1</v>
      </c>
    </row>
    <row r="3798" spans="1:2" x14ac:dyDescent="0.25">
      <c r="A3798" t="s">
        <v>3963</v>
      </c>
      <c r="B3798" s="23">
        <v>1</v>
      </c>
    </row>
    <row r="3799" spans="1:2" x14ac:dyDescent="0.25">
      <c r="A3799" t="s">
        <v>3964</v>
      </c>
      <c r="B3799" s="23">
        <v>1</v>
      </c>
    </row>
    <row r="3800" spans="1:2" x14ac:dyDescent="0.25">
      <c r="A3800" t="s">
        <v>3965</v>
      </c>
      <c r="B3800" s="23">
        <v>1</v>
      </c>
    </row>
    <row r="3801" spans="1:2" x14ac:dyDescent="0.25">
      <c r="A3801" t="s">
        <v>3966</v>
      </c>
      <c r="B3801" s="23">
        <v>1</v>
      </c>
    </row>
    <row r="3802" spans="1:2" x14ac:dyDescent="0.25">
      <c r="A3802" t="s">
        <v>3967</v>
      </c>
      <c r="B3802" s="23">
        <v>1</v>
      </c>
    </row>
    <row r="3803" spans="1:2" x14ac:dyDescent="0.25">
      <c r="A3803" t="s">
        <v>3968</v>
      </c>
      <c r="B3803" s="23">
        <v>1</v>
      </c>
    </row>
    <row r="3804" spans="1:2" x14ac:dyDescent="0.25">
      <c r="A3804" t="s">
        <v>3969</v>
      </c>
      <c r="B3804" s="23">
        <v>1</v>
      </c>
    </row>
    <row r="3805" spans="1:2" x14ac:dyDescent="0.25">
      <c r="A3805" t="s">
        <v>3970</v>
      </c>
      <c r="B3805" s="23">
        <v>1</v>
      </c>
    </row>
    <row r="3806" spans="1:2" x14ac:dyDescent="0.25">
      <c r="A3806" t="s">
        <v>3971</v>
      </c>
      <c r="B3806" s="23">
        <v>1</v>
      </c>
    </row>
    <row r="3807" spans="1:2" x14ac:dyDescent="0.25">
      <c r="A3807" t="s">
        <v>3972</v>
      </c>
      <c r="B3807" s="23">
        <v>1</v>
      </c>
    </row>
    <row r="3808" spans="1:2" x14ac:dyDescent="0.25">
      <c r="A3808" t="s">
        <v>3973</v>
      </c>
      <c r="B3808" s="23">
        <v>1</v>
      </c>
    </row>
    <row r="3809" spans="1:2" x14ac:dyDescent="0.25">
      <c r="A3809" t="s">
        <v>3974</v>
      </c>
      <c r="B3809" s="23">
        <v>1</v>
      </c>
    </row>
    <row r="3810" spans="1:2" x14ac:dyDescent="0.25">
      <c r="A3810" t="s">
        <v>3975</v>
      </c>
      <c r="B3810" s="23">
        <v>1</v>
      </c>
    </row>
    <row r="3811" spans="1:2" x14ac:dyDescent="0.25">
      <c r="A3811" t="s">
        <v>3976</v>
      </c>
      <c r="B3811" s="23">
        <v>1</v>
      </c>
    </row>
    <row r="3812" spans="1:2" x14ac:dyDescent="0.25">
      <c r="A3812" t="s">
        <v>3977</v>
      </c>
      <c r="B3812" s="23">
        <v>1</v>
      </c>
    </row>
    <row r="3813" spans="1:2" x14ac:dyDescent="0.25">
      <c r="A3813" t="s">
        <v>3978</v>
      </c>
      <c r="B3813" s="23">
        <v>1</v>
      </c>
    </row>
    <row r="3814" spans="1:2" x14ac:dyDescent="0.25">
      <c r="A3814" t="s">
        <v>3979</v>
      </c>
      <c r="B3814" s="23">
        <v>1</v>
      </c>
    </row>
    <row r="3815" spans="1:2" x14ac:dyDescent="0.25">
      <c r="A3815" t="s">
        <v>3980</v>
      </c>
      <c r="B3815" s="23">
        <v>1</v>
      </c>
    </row>
    <row r="3816" spans="1:2" x14ac:dyDescent="0.25">
      <c r="A3816" t="s">
        <v>3981</v>
      </c>
      <c r="B3816" s="23">
        <v>1</v>
      </c>
    </row>
    <row r="3817" spans="1:2" x14ac:dyDescent="0.25">
      <c r="A3817" t="s">
        <v>3982</v>
      </c>
      <c r="B3817" s="23">
        <v>1</v>
      </c>
    </row>
    <row r="3818" spans="1:2" x14ac:dyDescent="0.25">
      <c r="A3818" t="s">
        <v>3983</v>
      </c>
      <c r="B3818" s="23">
        <v>1</v>
      </c>
    </row>
    <row r="3819" spans="1:2" x14ac:dyDescent="0.25">
      <c r="A3819" t="s">
        <v>3984</v>
      </c>
      <c r="B3819" s="23">
        <v>1</v>
      </c>
    </row>
    <row r="3820" spans="1:2" x14ac:dyDescent="0.25">
      <c r="A3820" t="s">
        <v>3985</v>
      </c>
      <c r="B3820" s="23">
        <v>1</v>
      </c>
    </row>
    <row r="3821" spans="1:2" x14ac:dyDescent="0.25">
      <c r="A3821" t="s">
        <v>3986</v>
      </c>
      <c r="B3821" s="23">
        <v>1</v>
      </c>
    </row>
    <row r="3822" spans="1:2" x14ac:dyDescent="0.25">
      <c r="A3822" t="s">
        <v>3987</v>
      </c>
      <c r="B3822" s="23">
        <v>1</v>
      </c>
    </row>
    <row r="3823" spans="1:2" x14ac:dyDescent="0.25">
      <c r="A3823" t="s">
        <v>3988</v>
      </c>
      <c r="B3823" s="23">
        <v>1</v>
      </c>
    </row>
    <row r="3824" spans="1:2" x14ac:dyDescent="0.25">
      <c r="A3824" t="s">
        <v>3989</v>
      </c>
      <c r="B3824" s="23">
        <v>1</v>
      </c>
    </row>
    <row r="3825" spans="1:2" x14ac:dyDescent="0.25">
      <c r="A3825" t="s">
        <v>3990</v>
      </c>
      <c r="B3825" s="23">
        <v>1</v>
      </c>
    </row>
    <row r="3826" spans="1:2" x14ac:dyDescent="0.25">
      <c r="A3826" t="s">
        <v>3991</v>
      </c>
      <c r="B3826" s="23">
        <v>1</v>
      </c>
    </row>
    <row r="3827" spans="1:2" x14ac:dyDescent="0.25">
      <c r="A3827" t="s">
        <v>3992</v>
      </c>
      <c r="B3827" s="23">
        <v>1</v>
      </c>
    </row>
    <row r="3828" spans="1:2" x14ac:dyDescent="0.25">
      <c r="A3828" t="s">
        <v>3993</v>
      </c>
      <c r="B3828" s="23">
        <v>1</v>
      </c>
    </row>
    <row r="3829" spans="1:2" x14ac:dyDescent="0.25">
      <c r="A3829" t="s">
        <v>3994</v>
      </c>
      <c r="B3829" s="23">
        <v>1</v>
      </c>
    </row>
    <row r="3830" spans="1:2" x14ac:dyDescent="0.25">
      <c r="A3830" t="s">
        <v>3995</v>
      </c>
      <c r="B3830" s="23">
        <v>1</v>
      </c>
    </row>
    <row r="3831" spans="1:2" x14ac:dyDescent="0.25">
      <c r="A3831" t="s">
        <v>3996</v>
      </c>
      <c r="B3831" s="23">
        <v>1</v>
      </c>
    </row>
    <row r="3832" spans="1:2" x14ac:dyDescent="0.25">
      <c r="A3832" t="s">
        <v>3997</v>
      </c>
      <c r="B3832" s="23">
        <v>1</v>
      </c>
    </row>
    <row r="3833" spans="1:2" x14ac:dyDescent="0.25">
      <c r="A3833" t="s">
        <v>3998</v>
      </c>
      <c r="B3833" s="23">
        <v>1</v>
      </c>
    </row>
    <row r="3834" spans="1:2" x14ac:dyDescent="0.25">
      <c r="A3834" t="s">
        <v>3999</v>
      </c>
      <c r="B3834" s="23">
        <v>1</v>
      </c>
    </row>
    <row r="3835" spans="1:2" x14ac:dyDescent="0.25">
      <c r="A3835" t="s">
        <v>4000</v>
      </c>
      <c r="B3835" s="23">
        <v>1</v>
      </c>
    </row>
    <row r="3836" spans="1:2" x14ac:dyDescent="0.25">
      <c r="A3836" t="s">
        <v>4001</v>
      </c>
      <c r="B3836" s="23">
        <v>1</v>
      </c>
    </row>
    <row r="3837" spans="1:2" x14ac:dyDescent="0.25">
      <c r="A3837" t="s">
        <v>4002</v>
      </c>
      <c r="B3837" s="23">
        <v>1</v>
      </c>
    </row>
    <row r="3838" spans="1:2" x14ac:dyDescent="0.25">
      <c r="A3838" t="s">
        <v>4003</v>
      </c>
      <c r="B3838" s="23">
        <v>1</v>
      </c>
    </row>
    <row r="3839" spans="1:2" x14ac:dyDescent="0.25">
      <c r="A3839" t="s">
        <v>4004</v>
      </c>
      <c r="B3839" s="23">
        <v>1</v>
      </c>
    </row>
    <row r="3840" spans="1:2" x14ac:dyDescent="0.25">
      <c r="A3840" t="s">
        <v>4005</v>
      </c>
      <c r="B3840" s="23">
        <v>1</v>
      </c>
    </row>
    <row r="3841" spans="1:2" x14ac:dyDescent="0.25">
      <c r="A3841" t="s">
        <v>4006</v>
      </c>
      <c r="B3841" s="23">
        <v>1</v>
      </c>
    </row>
    <row r="3842" spans="1:2" x14ac:dyDescent="0.25">
      <c r="A3842" t="s">
        <v>4007</v>
      </c>
      <c r="B3842" s="23">
        <v>1</v>
      </c>
    </row>
    <row r="3843" spans="1:2" x14ac:dyDescent="0.25">
      <c r="A3843" t="s">
        <v>4008</v>
      </c>
      <c r="B3843" s="23">
        <v>1</v>
      </c>
    </row>
    <row r="3844" spans="1:2" x14ac:dyDescent="0.25">
      <c r="A3844" t="s">
        <v>4009</v>
      </c>
      <c r="B3844" s="23">
        <v>1</v>
      </c>
    </row>
    <row r="3845" spans="1:2" x14ac:dyDescent="0.25">
      <c r="A3845" t="s">
        <v>4010</v>
      </c>
      <c r="B3845" s="23">
        <v>1</v>
      </c>
    </row>
    <row r="3846" spans="1:2" x14ac:dyDescent="0.25">
      <c r="A3846" t="s">
        <v>4011</v>
      </c>
      <c r="B3846" s="23">
        <v>1</v>
      </c>
    </row>
    <row r="3847" spans="1:2" x14ac:dyDescent="0.25">
      <c r="A3847" t="s">
        <v>4012</v>
      </c>
      <c r="B3847" s="23">
        <v>1</v>
      </c>
    </row>
    <row r="3848" spans="1:2" x14ac:dyDescent="0.25">
      <c r="A3848" t="s">
        <v>4013</v>
      </c>
      <c r="B3848" s="23">
        <v>1</v>
      </c>
    </row>
    <row r="3849" spans="1:2" x14ac:dyDescent="0.25">
      <c r="A3849" t="s">
        <v>4014</v>
      </c>
      <c r="B3849" s="23">
        <v>1</v>
      </c>
    </row>
    <row r="3850" spans="1:2" x14ac:dyDescent="0.25">
      <c r="A3850" t="s">
        <v>4015</v>
      </c>
      <c r="B3850" s="23">
        <v>1</v>
      </c>
    </row>
    <row r="3851" spans="1:2" x14ac:dyDescent="0.25">
      <c r="A3851" t="s">
        <v>4016</v>
      </c>
      <c r="B3851" s="23">
        <v>1</v>
      </c>
    </row>
    <row r="3852" spans="1:2" x14ac:dyDescent="0.25">
      <c r="A3852" t="s">
        <v>4017</v>
      </c>
      <c r="B3852" s="23">
        <v>1</v>
      </c>
    </row>
    <row r="3853" spans="1:2" x14ac:dyDescent="0.25">
      <c r="A3853" t="s">
        <v>4018</v>
      </c>
      <c r="B3853" s="23">
        <v>1</v>
      </c>
    </row>
    <row r="3854" spans="1:2" x14ac:dyDescent="0.25">
      <c r="A3854" t="s">
        <v>4019</v>
      </c>
      <c r="B3854" s="23">
        <v>1</v>
      </c>
    </row>
    <row r="3855" spans="1:2" x14ac:dyDescent="0.25">
      <c r="A3855" t="s">
        <v>4020</v>
      </c>
      <c r="B3855" s="23">
        <v>1</v>
      </c>
    </row>
    <row r="3856" spans="1:2" x14ac:dyDescent="0.25">
      <c r="A3856" t="s">
        <v>4021</v>
      </c>
      <c r="B3856" s="23">
        <v>1</v>
      </c>
    </row>
    <row r="3857" spans="1:2" x14ac:dyDescent="0.25">
      <c r="A3857" t="s">
        <v>4022</v>
      </c>
      <c r="B3857" s="23">
        <v>1</v>
      </c>
    </row>
    <row r="3858" spans="1:2" x14ac:dyDescent="0.25">
      <c r="A3858" t="s">
        <v>4023</v>
      </c>
      <c r="B3858" s="23">
        <v>1</v>
      </c>
    </row>
    <row r="3859" spans="1:2" x14ac:dyDescent="0.25">
      <c r="A3859" t="s">
        <v>4024</v>
      </c>
      <c r="B3859" s="23">
        <v>1</v>
      </c>
    </row>
    <row r="3860" spans="1:2" x14ac:dyDescent="0.25">
      <c r="A3860" t="s">
        <v>4025</v>
      </c>
      <c r="B3860" s="23">
        <v>1</v>
      </c>
    </row>
    <row r="3861" spans="1:2" x14ac:dyDescent="0.25">
      <c r="A3861" t="s">
        <v>4026</v>
      </c>
      <c r="B3861" s="23">
        <v>1</v>
      </c>
    </row>
    <row r="3862" spans="1:2" x14ac:dyDescent="0.25">
      <c r="A3862" t="s">
        <v>4027</v>
      </c>
      <c r="B3862" s="23">
        <v>1</v>
      </c>
    </row>
    <row r="3863" spans="1:2" x14ac:dyDescent="0.25">
      <c r="A3863" t="s">
        <v>4028</v>
      </c>
      <c r="B3863" s="23">
        <v>1</v>
      </c>
    </row>
    <row r="3864" spans="1:2" x14ac:dyDescent="0.25">
      <c r="A3864" t="s">
        <v>4029</v>
      </c>
      <c r="B3864" s="23">
        <v>1</v>
      </c>
    </row>
    <row r="3865" spans="1:2" x14ac:dyDescent="0.25">
      <c r="A3865" t="s">
        <v>4030</v>
      </c>
      <c r="B3865" s="23">
        <v>1</v>
      </c>
    </row>
    <row r="3866" spans="1:2" x14ac:dyDescent="0.25">
      <c r="A3866" t="s">
        <v>4031</v>
      </c>
      <c r="B3866" s="23">
        <v>1</v>
      </c>
    </row>
    <row r="3867" spans="1:2" x14ac:dyDescent="0.25">
      <c r="A3867" t="s">
        <v>4032</v>
      </c>
      <c r="B3867" s="23">
        <v>1</v>
      </c>
    </row>
    <row r="3868" spans="1:2" x14ac:dyDescent="0.25">
      <c r="A3868" t="s">
        <v>4033</v>
      </c>
      <c r="B3868" s="23">
        <v>1</v>
      </c>
    </row>
    <row r="3869" spans="1:2" x14ac:dyDescent="0.25">
      <c r="A3869" t="s">
        <v>4034</v>
      </c>
      <c r="B3869" s="23">
        <v>1</v>
      </c>
    </row>
    <row r="3870" spans="1:2" x14ac:dyDescent="0.25">
      <c r="A3870" t="s">
        <v>4035</v>
      </c>
      <c r="B3870" s="23">
        <v>1</v>
      </c>
    </row>
    <row r="3871" spans="1:2" x14ac:dyDescent="0.25">
      <c r="A3871" t="s">
        <v>4036</v>
      </c>
      <c r="B3871" s="23">
        <v>1</v>
      </c>
    </row>
    <row r="3872" spans="1:2" x14ac:dyDescent="0.25">
      <c r="A3872" t="s">
        <v>4037</v>
      </c>
      <c r="B3872" s="23">
        <v>1</v>
      </c>
    </row>
    <row r="3873" spans="1:2" x14ac:dyDescent="0.25">
      <c r="A3873" t="s">
        <v>4038</v>
      </c>
      <c r="B3873" s="23">
        <v>1</v>
      </c>
    </row>
    <row r="3874" spans="1:2" x14ac:dyDescent="0.25">
      <c r="A3874" t="s">
        <v>4039</v>
      </c>
      <c r="B3874" s="23">
        <v>1</v>
      </c>
    </row>
    <row r="3875" spans="1:2" x14ac:dyDescent="0.25">
      <c r="A3875" t="s">
        <v>4040</v>
      </c>
      <c r="B3875" s="23">
        <v>1</v>
      </c>
    </row>
    <row r="3876" spans="1:2" x14ac:dyDescent="0.25">
      <c r="A3876" t="s">
        <v>4041</v>
      </c>
      <c r="B3876" s="23">
        <v>1</v>
      </c>
    </row>
    <row r="3877" spans="1:2" x14ac:dyDescent="0.25">
      <c r="A3877" t="s">
        <v>4042</v>
      </c>
      <c r="B3877" s="23">
        <v>1</v>
      </c>
    </row>
    <row r="3878" spans="1:2" x14ac:dyDescent="0.25">
      <c r="A3878" t="s">
        <v>4043</v>
      </c>
      <c r="B3878" s="23">
        <v>1</v>
      </c>
    </row>
    <row r="3879" spans="1:2" x14ac:dyDescent="0.25">
      <c r="A3879" t="s">
        <v>4044</v>
      </c>
      <c r="B3879" s="23">
        <v>1</v>
      </c>
    </row>
    <row r="3880" spans="1:2" x14ac:dyDescent="0.25">
      <c r="A3880" t="s">
        <v>4045</v>
      </c>
      <c r="B3880" s="23">
        <v>1</v>
      </c>
    </row>
    <row r="3881" spans="1:2" x14ac:dyDescent="0.25">
      <c r="A3881" t="s">
        <v>4046</v>
      </c>
      <c r="B3881" s="23">
        <v>1</v>
      </c>
    </row>
    <row r="3882" spans="1:2" x14ac:dyDescent="0.25">
      <c r="A3882" t="s">
        <v>4047</v>
      </c>
      <c r="B3882" s="23">
        <v>1</v>
      </c>
    </row>
    <row r="3883" spans="1:2" x14ac:dyDescent="0.25">
      <c r="A3883" t="s">
        <v>4048</v>
      </c>
      <c r="B3883" s="23">
        <v>1</v>
      </c>
    </row>
    <row r="3884" spans="1:2" x14ac:dyDescent="0.25">
      <c r="A3884" t="s">
        <v>4049</v>
      </c>
      <c r="B3884" s="23">
        <v>1</v>
      </c>
    </row>
    <row r="3885" spans="1:2" x14ac:dyDescent="0.25">
      <c r="A3885" t="s">
        <v>4050</v>
      </c>
      <c r="B3885" s="23">
        <v>1</v>
      </c>
    </row>
    <row r="3886" spans="1:2" x14ac:dyDescent="0.25">
      <c r="A3886" t="s">
        <v>4051</v>
      </c>
      <c r="B3886" s="23">
        <v>1</v>
      </c>
    </row>
    <row r="3887" spans="1:2" x14ac:dyDescent="0.25">
      <c r="A3887" t="s">
        <v>4052</v>
      </c>
      <c r="B3887" s="23">
        <v>1</v>
      </c>
    </row>
    <row r="3888" spans="1:2" x14ac:dyDescent="0.25">
      <c r="A3888" t="s">
        <v>4053</v>
      </c>
      <c r="B3888" s="23">
        <v>1</v>
      </c>
    </row>
    <row r="3889" spans="1:2" x14ac:dyDescent="0.25">
      <c r="A3889" t="s">
        <v>4054</v>
      </c>
      <c r="B3889" s="23">
        <v>1</v>
      </c>
    </row>
    <row r="3890" spans="1:2" x14ac:dyDescent="0.25">
      <c r="A3890" t="s">
        <v>4055</v>
      </c>
      <c r="B3890" s="23">
        <v>1</v>
      </c>
    </row>
    <row r="3891" spans="1:2" x14ac:dyDescent="0.25">
      <c r="A3891" t="s">
        <v>4056</v>
      </c>
      <c r="B3891" s="23">
        <v>1</v>
      </c>
    </row>
    <row r="3892" spans="1:2" x14ac:dyDescent="0.25">
      <c r="A3892" t="s">
        <v>4057</v>
      </c>
      <c r="B3892" s="23">
        <v>1</v>
      </c>
    </row>
    <row r="3893" spans="1:2" x14ac:dyDescent="0.25">
      <c r="A3893" t="s">
        <v>4058</v>
      </c>
      <c r="B3893" s="23">
        <v>1</v>
      </c>
    </row>
    <row r="3894" spans="1:2" x14ac:dyDescent="0.25">
      <c r="A3894" t="s">
        <v>4059</v>
      </c>
      <c r="B3894" s="23">
        <v>1</v>
      </c>
    </row>
    <row r="3895" spans="1:2" x14ac:dyDescent="0.25">
      <c r="A3895" t="s">
        <v>4060</v>
      </c>
      <c r="B3895" s="23">
        <v>1</v>
      </c>
    </row>
    <row r="3896" spans="1:2" x14ac:dyDescent="0.25">
      <c r="A3896" t="s">
        <v>4061</v>
      </c>
      <c r="B3896" s="23">
        <v>1</v>
      </c>
    </row>
    <row r="3897" spans="1:2" x14ac:dyDescent="0.25">
      <c r="A3897" t="s">
        <v>4062</v>
      </c>
      <c r="B3897" s="23">
        <v>1</v>
      </c>
    </row>
    <row r="3898" spans="1:2" x14ac:dyDescent="0.25">
      <c r="A3898" t="s">
        <v>4063</v>
      </c>
      <c r="B3898" s="23">
        <v>1</v>
      </c>
    </row>
    <row r="3899" spans="1:2" x14ac:dyDescent="0.25">
      <c r="A3899" t="s">
        <v>4064</v>
      </c>
      <c r="B3899" s="23">
        <v>1</v>
      </c>
    </row>
    <row r="3900" spans="1:2" x14ac:dyDescent="0.25">
      <c r="A3900" t="s">
        <v>4065</v>
      </c>
      <c r="B3900" s="23">
        <v>1</v>
      </c>
    </row>
    <row r="3901" spans="1:2" x14ac:dyDescent="0.25">
      <c r="A3901" t="s">
        <v>4066</v>
      </c>
      <c r="B3901" s="23">
        <v>1</v>
      </c>
    </row>
    <row r="3902" spans="1:2" x14ac:dyDescent="0.25">
      <c r="A3902" t="s">
        <v>4067</v>
      </c>
      <c r="B3902" s="23">
        <v>1</v>
      </c>
    </row>
    <row r="3903" spans="1:2" x14ac:dyDescent="0.25">
      <c r="A3903" t="s">
        <v>4068</v>
      </c>
      <c r="B3903" s="23">
        <v>1</v>
      </c>
    </row>
    <row r="3904" spans="1:2" x14ac:dyDescent="0.25">
      <c r="A3904" t="s">
        <v>4069</v>
      </c>
      <c r="B3904" s="23">
        <v>1</v>
      </c>
    </row>
    <row r="3905" spans="1:2" x14ac:dyDescent="0.25">
      <c r="A3905" t="s">
        <v>4070</v>
      </c>
      <c r="B3905" s="23">
        <v>1</v>
      </c>
    </row>
    <row r="3906" spans="1:2" x14ac:dyDescent="0.25">
      <c r="A3906" t="s">
        <v>4071</v>
      </c>
      <c r="B3906" s="23">
        <v>1</v>
      </c>
    </row>
    <row r="3907" spans="1:2" x14ac:dyDescent="0.25">
      <c r="A3907" t="s">
        <v>4072</v>
      </c>
      <c r="B3907" s="23">
        <v>1</v>
      </c>
    </row>
    <row r="3908" spans="1:2" x14ac:dyDescent="0.25">
      <c r="A3908" t="s">
        <v>4073</v>
      </c>
      <c r="B3908" s="23">
        <v>1</v>
      </c>
    </row>
    <row r="3909" spans="1:2" x14ac:dyDescent="0.25">
      <c r="A3909" t="s">
        <v>4074</v>
      </c>
      <c r="B3909" s="23">
        <v>1</v>
      </c>
    </row>
    <row r="3910" spans="1:2" x14ac:dyDescent="0.25">
      <c r="A3910" t="s">
        <v>4075</v>
      </c>
      <c r="B3910" s="23">
        <v>1</v>
      </c>
    </row>
    <row r="3911" spans="1:2" x14ac:dyDescent="0.25">
      <c r="A3911" t="s">
        <v>4076</v>
      </c>
      <c r="B3911" s="23">
        <v>1</v>
      </c>
    </row>
    <row r="3912" spans="1:2" x14ac:dyDescent="0.25">
      <c r="A3912" t="s">
        <v>4077</v>
      </c>
      <c r="B3912" s="23">
        <v>1</v>
      </c>
    </row>
    <row r="3913" spans="1:2" x14ac:dyDescent="0.25">
      <c r="A3913" t="s">
        <v>4078</v>
      </c>
      <c r="B3913" s="23">
        <v>1</v>
      </c>
    </row>
    <row r="3914" spans="1:2" x14ac:dyDescent="0.25">
      <c r="A3914" t="s">
        <v>4079</v>
      </c>
      <c r="B3914" s="23">
        <v>1</v>
      </c>
    </row>
    <row r="3915" spans="1:2" x14ac:dyDescent="0.25">
      <c r="A3915" t="s">
        <v>4080</v>
      </c>
      <c r="B3915" s="23">
        <v>1</v>
      </c>
    </row>
    <row r="3916" spans="1:2" x14ac:dyDescent="0.25">
      <c r="A3916" t="s">
        <v>4081</v>
      </c>
      <c r="B3916" s="23">
        <v>1</v>
      </c>
    </row>
    <row r="3917" spans="1:2" x14ac:dyDescent="0.25">
      <c r="A3917" t="s">
        <v>4082</v>
      </c>
      <c r="B3917" s="23">
        <v>1</v>
      </c>
    </row>
    <row r="3918" spans="1:2" x14ac:dyDescent="0.25">
      <c r="A3918" t="s">
        <v>4083</v>
      </c>
      <c r="B3918" s="23">
        <v>1</v>
      </c>
    </row>
    <row r="3919" spans="1:2" x14ac:dyDescent="0.25">
      <c r="A3919" t="s">
        <v>4084</v>
      </c>
      <c r="B3919" s="23">
        <v>1</v>
      </c>
    </row>
    <row r="3920" spans="1:2" x14ac:dyDescent="0.25">
      <c r="A3920" t="s">
        <v>4085</v>
      </c>
      <c r="B3920" s="23">
        <v>1</v>
      </c>
    </row>
    <row r="3921" spans="1:2" x14ac:dyDescent="0.25">
      <c r="A3921" t="s">
        <v>4086</v>
      </c>
      <c r="B3921" s="23">
        <v>1</v>
      </c>
    </row>
    <row r="3922" spans="1:2" x14ac:dyDescent="0.25">
      <c r="A3922" t="s">
        <v>4087</v>
      </c>
      <c r="B3922" s="23">
        <v>1</v>
      </c>
    </row>
    <row r="3923" spans="1:2" x14ac:dyDescent="0.25">
      <c r="A3923" t="s">
        <v>4088</v>
      </c>
      <c r="B3923" s="23">
        <v>1</v>
      </c>
    </row>
    <row r="3924" spans="1:2" x14ac:dyDescent="0.25">
      <c r="A3924" t="s">
        <v>4089</v>
      </c>
      <c r="B3924" s="23">
        <v>1</v>
      </c>
    </row>
    <row r="3925" spans="1:2" x14ac:dyDescent="0.25">
      <c r="A3925" t="s">
        <v>4090</v>
      </c>
      <c r="B3925" s="23">
        <v>1</v>
      </c>
    </row>
    <row r="3926" spans="1:2" x14ac:dyDescent="0.25">
      <c r="A3926" t="s">
        <v>4091</v>
      </c>
      <c r="B3926" s="23">
        <v>1</v>
      </c>
    </row>
    <row r="3927" spans="1:2" x14ac:dyDescent="0.25">
      <c r="A3927" t="s">
        <v>4092</v>
      </c>
      <c r="B3927" s="23">
        <v>1</v>
      </c>
    </row>
    <row r="3928" spans="1:2" x14ac:dyDescent="0.25">
      <c r="A3928" t="s">
        <v>4093</v>
      </c>
      <c r="B3928" s="23">
        <v>1</v>
      </c>
    </row>
    <row r="3929" spans="1:2" x14ac:dyDescent="0.25">
      <c r="A3929" t="s">
        <v>4094</v>
      </c>
      <c r="B3929" s="23">
        <v>1</v>
      </c>
    </row>
    <row r="3930" spans="1:2" x14ac:dyDescent="0.25">
      <c r="A3930" t="s">
        <v>4095</v>
      </c>
      <c r="B3930" s="23">
        <v>1</v>
      </c>
    </row>
    <row r="3931" spans="1:2" x14ac:dyDescent="0.25">
      <c r="A3931" t="s">
        <v>4096</v>
      </c>
      <c r="B3931" s="23">
        <v>1</v>
      </c>
    </row>
    <row r="3932" spans="1:2" x14ac:dyDescent="0.25">
      <c r="A3932" t="s">
        <v>4097</v>
      </c>
      <c r="B3932" s="23">
        <v>1</v>
      </c>
    </row>
    <row r="3933" spans="1:2" x14ac:dyDescent="0.25">
      <c r="A3933" t="s">
        <v>4098</v>
      </c>
      <c r="B3933" s="23">
        <v>1</v>
      </c>
    </row>
    <row r="3934" spans="1:2" x14ac:dyDescent="0.25">
      <c r="A3934" t="s">
        <v>4099</v>
      </c>
      <c r="B3934" s="23">
        <v>1</v>
      </c>
    </row>
    <row r="3935" spans="1:2" x14ac:dyDescent="0.25">
      <c r="A3935" t="s">
        <v>4100</v>
      </c>
      <c r="B3935" s="23">
        <v>1</v>
      </c>
    </row>
    <row r="3936" spans="1:2" x14ac:dyDescent="0.25">
      <c r="A3936" t="s">
        <v>4101</v>
      </c>
      <c r="B3936" s="23">
        <v>1</v>
      </c>
    </row>
    <row r="3937" spans="1:2" x14ac:dyDescent="0.25">
      <c r="A3937" t="s">
        <v>4102</v>
      </c>
      <c r="B3937" s="23">
        <v>1</v>
      </c>
    </row>
    <row r="3938" spans="1:2" x14ac:dyDescent="0.25">
      <c r="A3938" t="s">
        <v>4103</v>
      </c>
      <c r="B3938" s="23">
        <v>1</v>
      </c>
    </row>
    <row r="3939" spans="1:2" x14ac:dyDescent="0.25">
      <c r="A3939" t="s">
        <v>4104</v>
      </c>
      <c r="B3939" s="23">
        <v>1</v>
      </c>
    </row>
    <row r="3940" spans="1:2" x14ac:dyDescent="0.25">
      <c r="A3940" t="s">
        <v>4105</v>
      </c>
      <c r="B3940" s="23">
        <v>1</v>
      </c>
    </row>
    <row r="3941" spans="1:2" x14ac:dyDescent="0.25">
      <c r="A3941" t="s">
        <v>4106</v>
      </c>
      <c r="B3941" s="23">
        <v>1</v>
      </c>
    </row>
    <row r="3942" spans="1:2" x14ac:dyDescent="0.25">
      <c r="A3942" t="s">
        <v>4107</v>
      </c>
      <c r="B3942" s="23">
        <v>1</v>
      </c>
    </row>
    <row r="3943" spans="1:2" x14ac:dyDescent="0.25">
      <c r="A3943" t="s">
        <v>4108</v>
      </c>
      <c r="B3943" s="23">
        <v>1</v>
      </c>
    </row>
    <row r="3944" spans="1:2" x14ac:dyDescent="0.25">
      <c r="A3944" t="s">
        <v>4109</v>
      </c>
      <c r="B3944" s="23">
        <v>1</v>
      </c>
    </row>
    <row r="3945" spans="1:2" x14ac:dyDescent="0.25">
      <c r="A3945" t="s">
        <v>4110</v>
      </c>
      <c r="B3945" s="23">
        <v>1</v>
      </c>
    </row>
    <row r="3946" spans="1:2" x14ac:dyDescent="0.25">
      <c r="A3946" t="s">
        <v>4111</v>
      </c>
      <c r="B3946" s="23">
        <v>1</v>
      </c>
    </row>
    <row r="3947" spans="1:2" x14ac:dyDescent="0.25">
      <c r="A3947" t="s">
        <v>4112</v>
      </c>
      <c r="B3947" s="23">
        <v>1</v>
      </c>
    </row>
    <row r="3948" spans="1:2" x14ac:dyDescent="0.25">
      <c r="A3948" t="s">
        <v>4113</v>
      </c>
      <c r="B3948" s="23">
        <v>1</v>
      </c>
    </row>
    <row r="3949" spans="1:2" x14ac:dyDescent="0.25">
      <c r="A3949" t="s">
        <v>4114</v>
      </c>
      <c r="B3949" s="23">
        <v>1</v>
      </c>
    </row>
    <row r="3950" spans="1:2" x14ac:dyDescent="0.25">
      <c r="A3950" t="s">
        <v>4115</v>
      </c>
      <c r="B3950" s="23">
        <v>1</v>
      </c>
    </row>
    <row r="3951" spans="1:2" x14ac:dyDescent="0.25">
      <c r="A3951" t="s">
        <v>4116</v>
      </c>
      <c r="B3951" s="23">
        <v>1</v>
      </c>
    </row>
    <row r="3952" spans="1:2" x14ac:dyDescent="0.25">
      <c r="A3952" t="s">
        <v>4117</v>
      </c>
      <c r="B3952" s="23">
        <v>1</v>
      </c>
    </row>
    <row r="3953" spans="1:2" x14ac:dyDescent="0.25">
      <c r="A3953" t="s">
        <v>4118</v>
      </c>
      <c r="B3953" s="23">
        <v>1</v>
      </c>
    </row>
    <row r="3954" spans="1:2" x14ac:dyDescent="0.25">
      <c r="A3954" t="s">
        <v>4119</v>
      </c>
      <c r="B3954" s="23">
        <v>1</v>
      </c>
    </row>
    <row r="3955" spans="1:2" x14ac:dyDescent="0.25">
      <c r="A3955" t="s">
        <v>4120</v>
      </c>
      <c r="B3955" s="23">
        <v>1</v>
      </c>
    </row>
    <row r="3956" spans="1:2" x14ac:dyDescent="0.25">
      <c r="A3956" t="s">
        <v>4121</v>
      </c>
      <c r="B3956" s="23">
        <v>1</v>
      </c>
    </row>
    <row r="3957" spans="1:2" x14ac:dyDescent="0.25">
      <c r="A3957" t="s">
        <v>4122</v>
      </c>
      <c r="B3957" s="23">
        <v>1</v>
      </c>
    </row>
    <row r="3958" spans="1:2" x14ac:dyDescent="0.25">
      <c r="A3958" t="s">
        <v>4123</v>
      </c>
      <c r="B3958" s="23">
        <v>1</v>
      </c>
    </row>
    <row r="3959" spans="1:2" x14ac:dyDescent="0.25">
      <c r="A3959" t="s">
        <v>4124</v>
      </c>
      <c r="B3959" s="23">
        <v>1</v>
      </c>
    </row>
    <row r="3960" spans="1:2" x14ac:dyDescent="0.25">
      <c r="A3960" t="s">
        <v>4125</v>
      </c>
      <c r="B3960" s="23">
        <v>1</v>
      </c>
    </row>
    <row r="3961" spans="1:2" x14ac:dyDescent="0.25">
      <c r="A3961" t="s">
        <v>4126</v>
      </c>
      <c r="B3961" s="23">
        <v>1</v>
      </c>
    </row>
    <row r="3962" spans="1:2" x14ac:dyDescent="0.25">
      <c r="A3962" t="s">
        <v>4127</v>
      </c>
      <c r="B3962" s="23">
        <v>1</v>
      </c>
    </row>
    <row r="3963" spans="1:2" x14ac:dyDescent="0.25">
      <c r="A3963" t="s">
        <v>4128</v>
      </c>
      <c r="B3963" s="23">
        <v>1</v>
      </c>
    </row>
    <row r="3964" spans="1:2" x14ac:dyDescent="0.25">
      <c r="A3964" t="s">
        <v>4129</v>
      </c>
      <c r="B3964" s="23">
        <v>1</v>
      </c>
    </row>
    <row r="3965" spans="1:2" x14ac:dyDescent="0.25">
      <c r="A3965" t="s">
        <v>4130</v>
      </c>
      <c r="B3965" s="23">
        <v>1</v>
      </c>
    </row>
    <row r="3966" spans="1:2" x14ac:dyDescent="0.25">
      <c r="A3966" t="s">
        <v>4131</v>
      </c>
      <c r="B3966" s="23">
        <v>1</v>
      </c>
    </row>
    <row r="3967" spans="1:2" x14ac:dyDescent="0.25">
      <c r="A3967" t="s">
        <v>4132</v>
      </c>
      <c r="B3967" s="23">
        <v>1</v>
      </c>
    </row>
    <row r="3968" spans="1:2" x14ac:dyDescent="0.25">
      <c r="A3968" t="s">
        <v>4133</v>
      </c>
      <c r="B3968" s="23">
        <v>1</v>
      </c>
    </row>
    <row r="3969" spans="1:2" x14ac:dyDescent="0.25">
      <c r="A3969" t="s">
        <v>4134</v>
      </c>
      <c r="B3969" s="23">
        <v>1</v>
      </c>
    </row>
    <row r="3970" spans="1:2" x14ac:dyDescent="0.25">
      <c r="A3970" t="s">
        <v>4135</v>
      </c>
      <c r="B3970" s="23">
        <v>1</v>
      </c>
    </row>
    <row r="3971" spans="1:2" x14ac:dyDescent="0.25">
      <c r="A3971" t="s">
        <v>4136</v>
      </c>
      <c r="B3971" s="23">
        <v>1</v>
      </c>
    </row>
    <row r="3972" spans="1:2" x14ac:dyDescent="0.25">
      <c r="A3972" t="s">
        <v>4137</v>
      </c>
      <c r="B3972" s="23">
        <v>1</v>
      </c>
    </row>
    <row r="3973" spans="1:2" x14ac:dyDescent="0.25">
      <c r="A3973" t="s">
        <v>4138</v>
      </c>
      <c r="B3973" s="23">
        <v>1</v>
      </c>
    </row>
    <row r="3974" spans="1:2" x14ac:dyDescent="0.25">
      <c r="A3974" t="s">
        <v>4139</v>
      </c>
      <c r="B3974" s="23">
        <v>1</v>
      </c>
    </row>
    <row r="3975" spans="1:2" x14ac:dyDescent="0.25">
      <c r="A3975" t="s">
        <v>4140</v>
      </c>
      <c r="B3975" s="23">
        <v>1</v>
      </c>
    </row>
    <row r="3976" spans="1:2" x14ac:dyDescent="0.25">
      <c r="A3976" t="s">
        <v>4141</v>
      </c>
      <c r="B3976" s="23">
        <v>1</v>
      </c>
    </row>
    <row r="3977" spans="1:2" x14ac:dyDescent="0.25">
      <c r="A3977" t="s">
        <v>4142</v>
      </c>
      <c r="B3977" s="23">
        <v>1</v>
      </c>
    </row>
    <row r="3978" spans="1:2" x14ac:dyDescent="0.25">
      <c r="A3978" t="s">
        <v>4143</v>
      </c>
      <c r="B3978" s="23">
        <v>1</v>
      </c>
    </row>
    <row r="3979" spans="1:2" x14ac:dyDescent="0.25">
      <c r="A3979" t="s">
        <v>4144</v>
      </c>
      <c r="B3979" s="23">
        <v>1</v>
      </c>
    </row>
    <row r="3980" spans="1:2" x14ac:dyDescent="0.25">
      <c r="A3980" t="s">
        <v>4145</v>
      </c>
      <c r="B3980" s="23">
        <v>1</v>
      </c>
    </row>
    <row r="3981" spans="1:2" x14ac:dyDescent="0.25">
      <c r="A3981" t="s">
        <v>4146</v>
      </c>
      <c r="B3981" s="23">
        <v>1</v>
      </c>
    </row>
    <row r="3982" spans="1:2" x14ac:dyDescent="0.25">
      <c r="A3982" t="s">
        <v>4147</v>
      </c>
      <c r="B3982" s="23">
        <v>1</v>
      </c>
    </row>
    <row r="3983" spans="1:2" x14ac:dyDescent="0.25">
      <c r="A3983" t="s">
        <v>4148</v>
      </c>
      <c r="B3983" s="23">
        <v>1</v>
      </c>
    </row>
    <row r="3984" spans="1:2" x14ac:dyDescent="0.25">
      <c r="A3984" t="s">
        <v>4149</v>
      </c>
      <c r="B3984" s="23">
        <v>1</v>
      </c>
    </row>
    <row r="3985" spans="1:2" x14ac:dyDescent="0.25">
      <c r="A3985" t="s">
        <v>4150</v>
      </c>
      <c r="B3985" s="23">
        <v>1</v>
      </c>
    </row>
    <row r="3986" spans="1:2" x14ac:dyDescent="0.25">
      <c r="A3986" t="s">
        <v>4151</v>
      </c>
      <c r="B3986" s="23">
        <v>1</v>
      </c>
    </row>
    <row r="3987" spans="1:2" x14ac:dyDescent="0.25">
      <c r="A3987" t="s">
        <v>4152</v>
      </c>
      <c r="B3987" s="23">
        <v>1</v>
      </c>
    </row>
    <row r="3988" spans="1:2" x14ac:dyDescent="0.25">
      <c r="A3988" t="s">
        <v>4153</v>
      </c>
      <c r="B3988" s="23">
        <v>1</v>
      </c>
    </row>
    <row r="3989" spans="1:2" x14ac:dyDescent="0.25">
      <c r="A3989" t="s">
        <v>4154</v>
      </c>
      <c r="B3989" s="23">
        <v>1</v>
      </c>
    </row>
    <row r="3990" spans="1:2" x14ac:dyDescent="0.25">
      <c r="A3990" t="s">
        <v>4155</v>
      </c>
      <c r="B3990" s="23">
        <v>1</v>
      </c>
    </row>
    <row r="3991" spans="1:2" x14ac:dyDescent="0.25">
      <c r="A3991" t="s">
        <v>4156</v>
      </c>
      <c r="B3991" s="23">
        <v>1</v>
      </c>
    </row>
    <row r="3992" spans="1:2" x14ac:dyDescent="0.25">
      <c r="A3992" t="s">
        <v>4157</v>
      </c>
      <c r="B3992" s="23">
        <v>1</v>
      </c>
    </row>
    <row r="3993" spans="1:2" x14ac:dyDescent="0.25">
      <c r="A3993" t="s">
        <v>4158</v>
      </c>
      <c r="B3993" s="23">
        <v>1</v>
      </c>
    </row>
    <row r="3994" spans="1:2" x14ac:dyDescent="0.25">
      <c r="A3994" t="s">
        <v>4159</v>
      </c>
      <c r="B3994" s="23">
        <v>1</v>
      </c>
    </row>
    <row r="3995" spans="1:2" x14ac:dyDescent="0.25">
      <c r="A3995" t="s">
        <v>4160</v>
      </c>
      <c r="B3995" s="23">
        <v>1</v>
      </c>
    </row>
    <row r="3996" spans="1:2" x14ac:dyDescent="0.25">
      <c r="A3996" t="s">
        <v>4161</v>
      </c>
      <c r="B3996" s="23">
        <v>1</v>
      </c>
    </row>
    <row r="3997" spans="1:2" x14ac:dyDescent="0.25">
      <c r="A3997" t="s">
        <v>4162</v>
      </c>
      <c r="B3997" s="23">
        <v>1</v>
      </c>
    </row>
    <row r="3998" spans="1:2" x14ac:dyDescent="0.25">
      <c r="A3998" t="s">
        <v>4163</v>
      </c>
      <c r="B3998" s="23">
        <v>1</v>
      </c>
    </row>
    <row r="3999" spans="1:2" x14ac:dyDescent="0.25">
      <c r="A3999" t="s">
        <v>4164</v>
      </c>
      <c r="B3999" s="23">
        <v>1</v>
      </c>
    </row>
    <row r="4000" spans="1:2" x14ac:dyDescent="0.25">
      <c r="A4000" t="s">
        <v>4165</v>
      </c>
      <c r="B4000" s="23">
        <v>1</v>
      </c>
    </row>
    <row r="4001" spans="1:2" x14ac:dyDescent="0.25">
      <c r="A4001" t="s">
        <v>4166</v>
      </c>
      <c r="B4001" s="23">
        <v>1</v>
      </c>
    </row>
    <row r="4002" spans="1:2" x14ac:dyDescent="0.25">
      <c r="A4002" t="s">
        <v>4167</v>
      </c>
      <c r="B4002" s="23">
        <v>1</v>
      </c>
    </row>
    <row r="4003" spans="1:2" x14ac:dyDescent="0.25">
      <c r="A4003" t="s">
        <v>4168</v>
      </c>
      <c r="B4003" s="23">
        <v>1</v>
      </c>
    </row>
    <row r="4004" spans="1:2" x14ac:dyDescent="0.25">
      <c r="A4004" t="s">
        <v>4169</v>
      </c>
      <c r="B4004" s="23">
        <v>1</v>
      </c>
    </row>
    <row r="4005" spans="1:2" x14ac:dyDescent="0.25">
      <c r="A4005" t="s">
        <v>4170</v>
      </c>
      <c r="B4005" s="23">
        <v>1</v>
      </c>
    </row>
    <row r="4006" spans="1:2" x14ac:dyDescent="0.25">
      <c r="A4006" t="s">
        <v>4171</v>
      </c>
      <c r="B4006" s="23">
        <v>1</v>
      </c>
    </row>
    <row r="4007" spans="1:2" x14ac:dyDescent="0.25">
      <c r="A4007" t="s">
        <v>4172</v>
      </c>
      <c r="B4007" s="23">
        <v>1</v>
      </c>
    </row>
    <row r="4008" spans="1:2" x14ac:dyDescent="0.25">
      <c r="A4008" t="s">
        <v>4173</v>
      </c>
      <c r="B4008" s="23">
        <v>1</v>
      </c>
    </row>
    <row r="4009" spans="1:2" x14ac:dyDescent="0.25">
      <c r="A4009" t="s">
        <v>4174</v>
      </c>
      <c r="B4009" s="23">
        <v>1</v>
      </c>
    </row>
    <row r="4010" spans="1:2" x14ac:dyDescent="0.25">
      <c r="A4010" t="s">
        <v>4175</v>
      </c>
      <c r="B4010" s="23">
        <v>1</v>
      </c>
    </row>
    <row r="4011" spans="1:2" x14ac:dyDescent="0.25">
      <c r="A4011" t="s">
        <v>4176</v>
      </c>
      <c r="B4011" s="23">
        <v>1</v>
      </c>
    </row>
    <row r="4012" spans="1:2" x14ac:dyDescent="0.25">
      <c r="A4012" t="s">
        <v>4177</v>
      </c>
      <c r="B4012" s="23">
        <v>1</v>
      </c>
    </row>
    <row r="4013" spans="1:2" x14ac:dyDescent="0.25">
      <c r="A4013" t="s">
        <v>4178</v>
      </c>
      <c r="B4013" s="23">
        <v>1</v>
      </c>
    </row>
    <row r="4014" spans="1:2" x14ac:dyDescent="0.25">
      <c r="A4014" t="s">
        <v>4179</v>
      </c>
      <c r="B4014" s="23">
        <v>70</v>
      </c>
    </row>
    <row r="4015" spans="1:2" x14ac:dyDescent="0.25">
      <c r="A4015" t="s">
        <v>4180</v>
      </c>
      <c r="B4015" s="23">
        <v>70</v>
      </c>
    </row>
    <row r="4016" spans="1:2" x14ac:dyDescent="0.25">
      <c r="A4016" t="s">
        <v>4181</v>
      </c>
      <c r="B4016" s="23">
        <v>70</v>
      </c>
    </row>
    <row r="4017" spans="1:2" x14ac:dyDescent="0.25">
      <c r="A4017" t="s">
        <v>4182</v>
      </c>
      <c r="B4017" s="23">
        <v>70</v>
      </c>
    </row>
    <row r="4018" spans="1:2" x14ac:dyDescent="0.25">
      <c r="A4018" t="s">
        <v>4183</v>
      </c>
      <c r="B4018" s="23">
        <v>70</v>
      </c>
    </row>
    <row r="4019" spans="1:2" x14ac:dyDescent="0.25">
      <c r="A4019" t="s">
        <v>4184</v>
      </c>
      <c r="B4019" s="23">
        <v>70</v>
      </c>
    </row>
    <row r="4020" spans="1:2" x14ac:dyDescent="0.25">
      <c r="A4020" t="s">
        <v>4185</v>
      </c>
      <c r="B4020" s="23">
        <v>70</v>
      </c>
    </row>
    <row r="4021" spans="1:2" x14ac:dyDescent="0.25">
      <c r="A4021" t="s">
        <v>4186</v>
      </c>
      <c r="B4021" s="23">
        <v>70</v>
      </c>
    </row>
    <row r="4022" spans="1:2" x14ac:dyDescent="0.25">
      <c r="A4022" t="s">
        <v>4187</v>
      </c>
      <c r="B4022" s="23">
        <v>70</v>
      </c>
    </row>
    <row r="4023" spans="1:2" x14ac:dyDescent="0.25">
      <c r="A4023" t="s">
        <v>4188</v>
      </c>
      <c r="B4023" s="23">
        <v>70</v>
      </c>
    </row>
    <row r="4024" spans="1:2" x14ac:dyDescent="0.25">
      <c r="A4024" t="s">
        <v>4189</v>
      </c>
      <c r="B4024" s="23">
        <v>70</v>
      </c>
    </row>
    <row r="4025" spans="1:2" x14ac:dyDescent="0.25">
      <c r="A4025" t="s">
        <v>4190</v>
      </c>
      <c r="B4025" s="23">
        <v>70</v>
      </c>
    </row>
    <row r="4026" spans="1:2" x14ac:dyDescent="0.25">
      <c r="A4026" t="s">
        <v>4191</v>
      </c>
      <c r="B4026" s="23">
        <v>70</v>
      </c>
    </row>
    <row r="4027" spans="1:2" x14ac:dyDescent="0.25">
      <c r="A4027" t="s">
        <v>4192</v>
      </c>
      <c r="B4027" s="23">
        <v>70</v>
      </c>
    </row>
    <row r="4028" spans="1:2" x14ac:dyDescent="0.25">
      <c r="A4028" t="s">
        <v>4193</v>
      </c>
      <c r="B4028" s="23">
        <v>70</v>
      </c>
    </row>
    <row r="4029" spans="1:2" x14ac:dyDescent="0.25">
      <c r="A4029" t="s">
        <v>4194</v>
      </c>
      <c r="B4029" s="23">
        <v>70</v>
      </c>
    </row>
    <row r="4030" spans="1:2" x14ac:dyDescent="0.25">
      <c r="A4030" t="s">
        <v>4195</v>
      </c>
      <c r="B4030" s="23">
        <v>70</v>
      </c>
    </row>
    <row r="4031" spans="1:2" x14ac:dyDescent="0.25">
      <c r="A4031" t="s">
        <v>4196</v>
      </c>
      <c r="B4031" s="23">
        <v>70</v>
      </c>
    </row>
    <row r="4032" spans="1:2" x14ac:dyDescent="0.25">
      <c r="A4032" t="s">
        <v>4197</v>
      </c>
      <c r="B4032" s="23">
        <v>70</v>
      </c>
    </row>
    <row r="4033" spans="1:2" x14ac:dyDescent="0.25">
      <c r="A4033" t="s">
        <v>4198</v>
      </c>
      <c r="B4033" s="23">
        <v>70</v>
      </c>
    </row>
    <row r="4034" spans="1:2" x14ac:dyDescent="0.25">
      <c r="A4034" t="s">
        <v>4199</v>
      </c>
      <c r="B4034" s="23">
        <v>70</v>
      </c>
    </row>
    <row r="4035" spans="1:2" x14ac:dyDescent="0.25">
      <c r="A4035" t="s">
        <v>4200</v>
      </c>
      <c r="B4035" s="23">
        <v>67</v>
      </c>
    </row>
    <row r="4036" spans="1:2" x14ac:dyDescent="0.25">
      <c r="A4036" t="s">
        <v>4201</v>
      </c>
      <c r="B4036" s="23">
        <v>65</v>
      </c>
    </row>
    <row r="4037" spans="1:2" x14ac:dyDescent="0.25">
      <c r="A4037" t="s">
        <v>4202</v>
      </c>
      <c r="B4037" s="23">
        <v>63</v>
      </c>
    </row>
    <row r="4038" spans="1:2" x14ac:dyDescent="0.25">
      <c r="A4038" t="s">
        <v>4203</v>
      </c>
      <c r="B4038" s="23">
        <v>61</v>
      </c>
    </row>
    <row r="4039" spans="1:2" x14ac:dyDescent="0.25">
      <c r="A4039" t="s">
        <v>4204</v>
      </c>
      <c r="B4039" s="23">
        <v>59</v>
      </c>
    </row>
    <row r="4040" spans="1:2" x14ac:dyDescent="0.25">
      <c r="A4040" t="s">
        <v>4205</v>
      </c>
      <c r="B4040" s="23">
        <v>57</v>
      </c>
    </row>
    <row r="4041" spans="1:2" x14ac:dyDescent="0.25">
      <c r="A4041" t="s">
        <v>4206</v>
      </c>
      <c r="B4041" s="23">
        <v>55</v>
      </c>
    </row>
    <row r="4042" spans="1:2" x14ac:dyDescent="0.25">
      <c r="A4042" t="s">
        <v>4207</v>
      </c>
      <c r="B4042" s="23">
        <v>53</v>
      </c>
    </row>
    <row r="4043" spans="1:2" x14ac:dyDescent="0.25">
      <c r="A4043" t="s">
        <v>4208</v>
      </c>
      <c r="B4043" s="23">
        <v>51</v>
      </c>
    </row>
    <row r="4044" spans="1:2" x14ac:dyDescent="0.25">
      <c r="A4044" t="s">
        <v>4209</v>
      </c>
      <c r="B4044" s="23">
        <v>49</v>
      </c>
    </row>
    <row r="4045" spans="1:2" x14ac:dyDescent="0.25">
      <c r="A4045" t="s">
        <v>4210</v>
      </c>
      <c r="B4045" s="23">
        <v>47</v>
      </c>
    </row>
    <row r="4046" spans="1:2" x14ac:dyDescent="0.25">
      <c r="A4046" t="s">
        <v>4211</v>
      </c>
      <c r="B4046" s="23">
        <v>45</v>
      </c>
    </row>
    <row r="4047" spans="1:2" x14ac:dyDescent="0.25">
      <c r="A4047" t="s">
        <v>4212</v>
      </c>
      <c r="B4047" s="23">
        <v>43</v>
      </c>
    </row>
    <row r="4048" spans="1:2" x14ac:dyDescent="0.25">
      <c r="A4048" t="s">
        <v>4213</v>
      </c>
      <c r="B4048" s="23">
        <v>41</v>
      </c>
    </row>
    <row r="4049" spans="1:2" x14ac:dyDescent="0.25">
      <c r="A4049" t="s">
        <v>4214</v>
      </c>
      <c r="B4049" s="23">
        <v>39</v>
      </c>
    </row>
    <row r="4050" spans="1:2" x14ac:dyDescent="0.25">
      <c r="A4050" t="s">
        <v>4215</v>
      </c>
      <c r="B4050" s="23">
        <v>37</v>
      </c>
    </row>
    <row r="4051" spans="1:2" x14ac:dyDescent="0.25">
      <c r="A4051" t="s">
        <v>4216</v>
      </c>
      <c r="B4051" s="23">
        <v>35</v>
      </c>
    </row>
    <row r="4052" spans="1:2" x14ac:dyDescent="0.25">
      <c r="A4052" t="s">
        <v>4217</v>
      </c>
      <c r="B4052" s="23">
        <v>33</v>
      </c>
    </row>
    <row r="4053" spans="1:2" x14ac:dyDescent="0.25">
      <c r="A4053" t="s">
        <v>4218</v>
      </c>
      <c r="B4053" s="23">
        <v>31</v>
      </c>
    </row>
    <row r="4054" spans="1:2" x14ac:dyDescent="0.25">
      <c r="A4054" t="s">
        <v>4219</v>
      </c>
      <c r="B4054" s="23">
        <v>29</v>
      </c>
    </row>
    <row r="4055" spans="1:2" x14ac:dyDescent="0.25">
      <c r="A4055" t="s">
        <v>4220</v>
      </c>
      <c r="B4055" s="23">
        <v>27</v>
      </c>
    </row>
    <row r="4056" spans="1:2" x14ac:dyDescent="0.25">
      <c r="A4056" t="s">
        <v>4221</v>
      </c>
      <c r="B4056" s="23">
        <v>25</v>
      </c>
    </row>
    <row r="4057" spans="1:2" x14ac:dyDescent="0.25">
      <c r="A4057" t="s">
        <v>4222</v>
      </c>
      <c r="B4057" s="23">
        <v>23</v>
      </c>
    </row>
    <row r="4058" spans="1:2" x14ac:dyDescent="0.25">
      <c r="A4058" t="s">
        <v>4223</v>
      </c>
      <c r="B4058" s="23">
        <v>21</v>
      </c>
    </row>
    <row r="4059" spans="1:2" x14ac:dyDescent="0.25">
      <c r="A4059" t="s">
        <v>4224</v>
      </c>
      <c r="B4059" s="23">
        <v>18</v>
      </c>
    </row>
    <row r="4060" spans="1:2" x14ac:dyDescent="0.25">
      <c r="A4060" t="s">
        <v>4225</v>
      </c>
      <c r="B4060" s="23">
        <v>15</v>
      </c>
    </row>
    <row r="4061" spans="1:2" x14ac:dyDescent="0.25">
      <c r="A4061" t="s">
        <v>4226</v>
      </c>
      <c r="B4061" s="23">
        <v>12</v>
      </c>
    </row>
    <row r="4062" spans="1:2" x14ac:dyDescent="0.25">
      <c r="A4062" t="s">
        <v>4227</v>
      </c>
      <c r="B4062" s="23">
        <v>9</v>
      </c>
    </row>
    <row r="4063" spans="1:2" x14ac:dyDescent="0.25">
      <c r="A4063" t="s">
        <v>4228</v>
      </c>
      <c r="B4063" s="23">
        <v>6</v>
      </c>
    </row>
    <row r="4064" spans="1:2" x14ac:dyDescent="0.25">
      <c r="A4064" t="s">
        <v>4229</v>
      </c>
      <c r="B4064" s="23">
        <v>6</v>
      </c>
    </row>
    <row r="4065" spans="1:2" x14ac:dyDescent="0.25">
      <c r="A4065" t="s">
        <v>4230</v>
      </c>
      <c r="B4065" s="23">
        <v>3</v>
      </c>
    </row>
    <row r="4066" spans="1:2" x14ac:dyDescent="0.25">
      <c r="A4066" t="s">
        <v>4231</v>
      </c>
      <c r="B4066" s="23">
        <v>3</v>
      </c>
    </row>
    <row r="4067" spans="1:2" x14ac:dyDescent="0.25">
      <c r="A4067" t="s">
        <v>4232</v>
      </c>
      <c r="B4067" s="23">
        <v>1</v>
      </c>
    </row>
    <row r="4068" spans="1:2" x14ac:dyDescent="0.25">
      <c r="A4068" t="s">
        <v>4233</v>
      </c>
      <c r="B4068" s="23">
        <v>1</v>
      </c>
    </row>
    <row r="4069" spans="1:2" x14ac:dyDescent="0.25">
      <c r="A4069" t="s">
        <v>4234</v>
      </c>
      <c r="B4069" s="23">
        <v>0</v>
      </c>
    </row>
    <row r="4070" spans="1:2" x14ac:dyDescent="0.25">
      <c r="A4070" t="s">
        <v>4235</v>
      </c>
      <c r="B4070" s="23">
        <v>70</v>
      </c>
    </row>
    <row r="4071" spans="1:2" x14ac:dyDescent="0.25">
      <c r="A4071" t="s">
        <v>4236</v>
      </c>
      <c r="B4071" s="23">
        <v>70</v>
      </c>
    </row>
    <row r="4072" spans="1:2" x14ac:dyDescent="0.25">
      <c r="A4072" t="s">
        <v>4237</v>
      </c>
      <c r="B4072" s="23">
        <v>70</v>
      </c>
    </row>
    <row r="4073" spans="1:2" x14ac:dyDescent="0.25">
      <c r="A4073" t="s">
        <v>4238</v>
      </c>
      <c r="B4073" s="23">
        <v>70</v>
      </c>
    </row>
    <row r="4074" spans="1:2" x14ac:dyDescent="0.25">
      <c r="A4074" t="s">
        <v>4239</v>
      </c>
      <c r="B4074" s="23">
        <v>70</v>
      </c>
    </row>
    <row r="4075" spans="1:2" x14ac:dyDescent="0.25">
      <c r="A4075" t="s">
        <v>4240</v>
      </c>
      <c r="B4075" s="23">
        <v>70</v>
      </c>
    </row>
    <row r="4076" spans="1:2" x14ac:dyDescent="0.25">
      <c r="A4076" t="s">
        <v>4241</v>
      </c>
      <c r="B4076" s="23">
        <v>70</v>
      </c>
    </row>
    <row r="4077" spans="1:2" x14ac:dyDescent="0.25">
      <c r="A4077" t="s">
        <v>4242</v>
      </c>
      <c r="B4077" s="23">
        <v>70</v>
      </c>
    </row>
    <row r="4078" spans="1:2" x14ac:dyDescent="0.25">
      <c r="A4078" t="s">
        <v>4243</v>
      </c>
      <c r="B4078" s="23">
        <v>70</v>
      </c>
    </row>
    <row r="4079" spans="1:2" x14ac:dyDescent="0.25">
      <c r="A4079" t="s">
        <v>4244</v>
      </c>
      <c r="B4079" s="23">
        <v>70</v>
      </c>
    </row>
    <row r="4080" spans="1:2" x14ac:dyDescent="0.25">
      <c r="A4080" t="s">
        <v>4245</v>
      </c>
      <c r="B4080" s="23">
        <v>70</v>
      </c>
    </row>
    <row r="4081" spans="1:2" x14ac:dyDescent="0.25">
      <c r="A4081" t="s">
        <v>4246</v>
      </c>
      <c r="B4081" s="23">
        <v>70</v>
      </c>
    </row>
    <row r="4082" spans="1:2" x14ac:dyDescent="0.25">
      <c r="A4082" t="s">
        <v>4247</v>
      </c>
      <c r="B4082" s="23">
        <v>70</v>
      </c>
    </row>
    <row r="4083" spans="1:2" x14ac:dyDescent="0.25">
      <c r="A4083" t="s">
        <v>4248</v>
      </c>
      <c r="B4083" s="23">
        <v>70</v>
      </c>
    </row>
    <row r="4084" spans="1:2" x14ac:dyDescent="0.25">
      <c r="A4084" t="s">
        <v>4249</v>
      </c>
      <c r="B4084" s="23">
        <v>70</v>
      </c>
    </row>
    <row r="4085" spans="1:2" x14ac:dyDescent="0.25">
      <c r="A4085" t="s">
        <v>4250</v>
      </c>
      <c r="B4085" s="23">
        <v>70</v>
      </c>
    </row>
    <row r="4086" spans="1:2" x14ac:dyDescent="0.25">
      <c r="A4086" t="s">
        <v>4251</v>
      </c>
      <c r="B4086" s="23">
        <v>70</v>
      </c>
    </row>
    <row r="4087" spans="1:2" x14ac:dyDescent="0.25">
      <c r="A4087" t="s">
        <v>4252</v>
      </c>
      <c r="B4087" s="23">
        <v>70</v>
      </c>
    </row>
    <row r="4088" spans="1:2" x14ac:dyDescent="0.25">
      <c r="A4088" t="s">
        <v>4253</v>
      </c>
      <c r="B4088" s="23">
        <v>70</v>
      </c>
    </row>
    <row r="4089" spans="1:2" x14ac:dyDescent="0.25">
      <c r="A4089" t="s">
        <v>4254</v>
      </c>
      <c r="B4089" s="23">
        <v>70</v>
      </c>
    </row>
    <row r="4090" spans="1:2" x14ac:dyDescent="0.25">
      <c r="A4090" t="s">
        <v>4255</v>
      </c>
      <c r="B4090" s="23">
        <v>70</v>
      </c>
    </row>
    <row r="4091" spans="1:2" x14ac:dyDescent="0.25">
      <c r="A4091" t="s">
        <v>4256</v>
      </c>
      <c r="B4091" s="23">
        <v>70</v>
      </c>
    </row>
    <row r="4092" spans="1:2" x14ac:dyDescent="0.25">
      <c r="A4092" t="s">
        <v>4257</v>
      </c>
      <c r="B4092" s="23">
        <v>70</v>
      </c>
    </row>
    <row r="4093" spans="1:2" x14ac:dyDescent="0.25">
      <c r="A4093" t="s">
        <v>4258</v>
      </c>
      <c r="B4093" s="23">
        <v>68</v>
      </c>
    </row>
    <row r="4094" spans="1:2" x14ac:dyDescent="0.25">
      <c r="A4094" t="s">
        <v>4259</v>
      </c>
      <c r="B4094" s="23">
        <v>67</v>
      </c>
    </row>
    <row r="4095" spans="1:2" x14ac:dyDescent="0.25">
      <c r="A4095" t="s">
        <v>4260</v>
      </c>
      <c r="B4095" s="23">
        <v>65</v>
      </c>
    </row>
    <row r="4096" spans="1:2" x14ac:dyDescent="0.25">
      <c r="A4096" t="s">
        <v>4261</v>
      </c>
      <c r="B4096" s="23">
        <v>64</v>
      </c>
    </row>
    <row r="4097" spans="1:2" x14ac:dyDescent="0.25">
      <c r="A4097" t="s">
        <v>4262</v>
      </c>
      <c r="B4097" s="23">
        <v>62</v>
      </c>
    </row>
    <row r="4098" spans="1:2" x14ac:dyDescent="0.25">
      <c r="A4098" t="s">
        <v>4263</v>
      </c>
      <c r="B4098" s="23">
        <v>61</v>
      </c>
    </row>
    <row r="4099" spans="1:2" x14ac:dyDescent="0.25">
      <c r="A4099" t="s">
        <v>4264</v>
      </c>
      <c r="B4099" s="23">
        <v>59</v>
      </c>
    </row>
    <row r="4100" spans="1:2" x14ac:dyDescent="0.25">
      <c r="A4100" t="s">
        <v>4265</v>
      </c>
      <c r="B4100" s="23">
        <v>57</v>
      </c>
    </row>
    <row r="4101" spans="1:2" x14ac:dyDescent="0.25">
      <c r="A4101" t="s">
        <v>4266</v>
      </c>
      <c r="B4101" s="23">
        <v>55</v>
      </c>
    </row>
    <row r="4102" spans="1:2" x14ac:dyDescent="0.25">
      <c r="A4102" t="s">
        <v>4267</v>
      </c>
      <c r="B4102" s="23">
        <v>53</v>
      </c>
    </row>
    <row r="4103" spans="1:2" x14ac:dyDescent="0.25">
      <c r="A4103" t="s">
        <v>4268</v>
      </c>
      <c r="B4103" s="23">
        <v>51</v>
      </c>
    </row>
    <row r="4104" spans="1:2" x14ac:dyDescent="0.25">
      <c r="A4104" t="s">
        <v>4269</v>
      </c>
      <c r="B4104" s="23">
        <v>49</v>
      </c>
    </row>
    <row r="4105" spans="1:2" x14ac:dyDescent="0.25">
      <c r="A4105" t="s">
        <v>4270</v>
      </c>
      <c r="B4105" s="23">
        <v>47</v>
      </c>
    </row>
    <row r="4106" spans="1:2" x14ac:dyDescent="0.25">
      <c r="A4106" t="s">
        <v>4271</v>
      </c>
      <c r="B4106" s="23">
        <v>45</v>
      </c>
    </row>
    <row r="4107" spans="1:2" x14ac:dyDescent="0.25">
      <c r="A4107" t="s">
        <v>4272</v>
      </c>
      <c r="B4107" s="23">
        <v>43</v>
      </c>
    </row>
    <row r="4108" spans="1:2" x14ac:dyDescent="0.25">
      <c r="A4108" t="s">
        <v>4273</v>
      </c>
      <c r="B4108" s="23">
        <v>41</v>
      </c>
    </row>
    <row r="4109" spans="1:2" x14ac:dyDescent="0.25">
      <c r="A4109" t="s">
        <v>4274</v>
      </c>
      <c r="B4109" s="23">
        <v>39</v>
      </c>
    </row>
    <row r="4110" spans="1:2" x14ac:dyDescent="0.25">
      <c r="A4110" t="s">
        <v>4275</v>
      </c>
      <c r="B4110" s="23">
        <v>37</v>
      </c>
    </row>
    <row r="4111" spans="1:2" x14ac:dyDescent="0.25">
      <c r="A4111" t="s">
        <v>4276</v>
      </c>
      <c r="B4111" s="23">
        <v>35</v>
      </c>
    </row>
    <row r="4112" spans="1:2" x14ac:dyDescent="0.25">
      <c r="A4112" t="s">
        <v>4277</v>
      </c>
      <c r="B4112" s="23">
        <v>33</v>
      </c>
    </row>
    <row r="4113" spans="1:2" x14ac:dyDescent="0.25">
      <c r="A4113" t="s">
        <v>4278</v>
      </c>
      <c r="B4113" s="23">
        <v>31</v>
      </c>
    </row>
    <row r="4114" spans="1:2" x14ac:dyDescent="0.25">
      <c r="A4114" t="s">
        <v>4279</v>
      </c>
      <c r="B4114" s="23">
        <v>29</v>
      </c>
    </row>
    <row r="4115" spans="1:2" x14ac:dyDescent="0.25">
      <c r="A4115" t="s">
        <v>4280</v>
      </c>
      <c r="B4115" s="23">
        <v>26</v>
      </c>
    </row>
    <row r="4116" spans="1:2" x14ac:dyDescent="0.25">
      <c r="A4116" t="s">
        <v>4281</v>
      </c>
      <c r="B4116" s="23">
        <v>23</v>
      </c>
    </row>
    <row r="4117" spans="1:2" x14ac:dyDescent="0.25">
      <c r="A4117" t="s">
        <v>4282</v>
      </c>
      <c r="B4117" s="23">
        <v>20</v>
      </c>
    </row>
    <row r="4118" spans="1:2" x14ac:dyDescent="0.25">
      <c r="A4118" t="s">
        <v>4283</v>
      </c>
      <c r="B4118" s="23">
        <v>17</v>
      </c>
    </row>
    <row r="4119" spans="1:2" x14ac:dyDescent="0.25">
      <c r="A4119" t="s">
        <v>4284</v>
      </c>
      <c r="B4119" s="23">
        <v>14</v>
      </c>
    </row>
    <row r="4120" spans="1:2" x14ac:dyDescent="0.25">
      <c r="A4120" t="s">
        <v>4285</v>
      </c>
      <c r="B4120" s="23">
        <v>11</v>
      </c>
    </row>
    <row r="4121" spans="1:2" x14ac:dyDescent="0.25">
      <c r="A4121" t="s">
        <v>4286</v>
      </c>
      <c r="B4121" s="23">
        <v>8</v>
      </c>
    </row>
    <row r="4122" spans="1:2" x14ac:dyDescent="0.25">
      <c r="A4122" t="s">
        <v>4287</v>
      </c>
      <c r="B4122" s="23">
        <v>5</v>
      </c>
    </row>
    <row r="4123" spans="1:2" x14ac:dyDescent="0.25">
      <c r="A4123" t="s">
        <v>4288</v>
      </c>
      <c r="B4123" s="23">
        <v>3</v>
      </c>
    </row>
    <row r="4124" spans="1:2" x14ac:dyDescent="0.25">
      <c r="A4124" t="s">
        <v>4289</v>
      </c>
      <c r="B4124" s="23">
        <v>1</v>
      </c>
    </row>
    <row r="4125" spans="1:2" x14ac:dyDescent="0.25">
      <c r="A4125" t="s">
        <v>4290</v>
      </c>
      <c r="B4125" s="23">
        <v>0</v>
      </c>
    </row>
    <row r="4126" spans="1:2" x14ac:dyDescent="0.25">
      <c r="A4126" t="s">
        <v>4291</v>
      </c>
      <c r="B4126" s="23">
        <v>70</v>
      </c>
    </row>
    <row r="4127" spans="1:2" x14ac:dyDescent="0.25">
      <c r="A4127" t="s">
        <v>4292</v>
      </c>
      <c r="B4127" s="23">
        <v>70</v>
      </c>
    </row>
    <row r="4128" spans="1:2" x14ac:dyDescent="0.25">
      <c r="A4128" t="s">
        <v>4293</v>
      </c>
      <c r="B4128" s="23">
        <v>70</v>
      </c>
    </row>
    <row r="4129" spans="1:2" x14ac:dyDescent="0.25">
      <c r="A4129" t="s">
        <v>4294</v>
      </c>
      <c r="B4129" s="23">
        <v>70</v>
      </c>
    </row>
    <row r="4130" spans="1:2" x14ac:dyDescent="0.25">
      <c r="A4130" t="s">
        <v>4295</v>
      </c>
      <c r="B4130" s="23">
        <v>70</v>
      </c>
    </row>
    <row r="4131" spans="1:2" x14ac:dyDescent="0.25">
      <c r="A4131" t="s">
        <v>4296</v>
      </c>
      <c r="B4131" s="23">
        <v>70</v>
      </c>
    </row>
    <row r="4132" spans="1:2" x14ac:dyDescent="0.25">
      <c r="A4132" t="s">
        <v>4297</v>
      </c>
      <c r="B4132" s="23">
        <v>70</v>
      </c>
    </row>
    <row r="4133" spans="1:2" x14ac:dyDescent="0.25">
      <c r="A4133" t="s">
        <v>4298</v>
      </c>
      <c r="B4133" s="23">
        <v>70</v>
      </c>
    </row>
    <row r="4134" spans="1:2" x14ac:dyDescent="0.25">
      <c r="A4134" t="s">
        <v>4299</v>
      </c>
      <c r="B4134" s="23">
        <v>70</v>
      </c>
    </row>
    <row r="4135" spans="1:2" x14ac:dyDescent="0.25">
      <c r="A4135" t="s">
        <v>4300</v>
      </c>
      <c r="B4135" s="23">
        <v>70</v>
      </c>
    </row>
    <row r="4136" spans="1:2" x14ac:dyDescent="0.25">
      <c r="A4136" t="s">
        <v>4301</v>
      </c>
      <c r="B4136" s="23">
        <v>70</v>
      </c>
    </row>
    <row r="4137" spans="1:2" x14ac:dyDescent="0.25">
      <c r="A4137" t="s">
        <v>4302</v>
      </c>
      <c r="B4137" s="23">
        <v>70</v>
      </c>
    </row>
    <row r="4138" spans="1:2" x14ac:dyDescent="0.25">
      <c r="A4138" t="s">
        <v>4303</v>
      </c>
      <c r="B4138" s="23">
        <v>70</v>
      </c>
    </row>
    <row r="4139" spans="1:2" x14ac:dyDescent="0.25">
      <c r="A4139" t="s">
        <v>4304</v>
      </c>
      <c r="B4139" s="23">
        <v>70</v>
      </c>
    </row>
    <row r="4140" spans="1:2" x14ac:dyDescent="0.25">
      <c r="A4140" t="s">
        <v>4305</v>
      </c>
      <c r="B4140" s="23">
        <v>70</v>
      </c>
    </row>
    <row r="4141" spans="1:2" x14ac:dyDescent="0.25">
      <c r="A4141" t="s">
        <v>4306</v>
      </c>
      <c r="B4141" s="23">
        <v>70</v>
      </c>
    </row>
    <row r="4142" spans="1:2" x14ac:dyDescent="0.25">
      <c r="A4142" t="s">
        <v>4307</v>
      </c>
      <c r="B4142" s="23">
        <v>70</v>
      </c>
    </row>
    <row r="4143" spans="1:2" x14ac:dyDescent="0.25">
      <c r="A4143" t="s">
        <v>4308</v>
      </c>
      <c r="B4143" s="23">
        <v>70</v>
      </c>
    </row>
    <row r="4144" spans="1:2" x14ac:dyDescent="0.25">
      <c r="A4144" t="s">
        <v>4309</v>
      </c>
      <c r="B4144" s="23">
        <v>70</v>
      </c>
    </row>
    <row r="4145" spans="1:2" x14ac:dyDescent="0.25">
      <c r="A4145" t="s">
        <v>4310</v>
      </c>
      <c r="B4145" s="23">
        <v>70</v>
      </c>
    </row>
    <row r="4146" spans="1:2" x14ac:dyDescent="0.25">
      <c r="A4146" t="s">
        <v>4311</v>
      </c>
      <c r="B4146" s="23">
        <v>70</v>
      </c>
    </row>
    <row r="4147" spans="1:2" x14ac:dyDescent="0.25">
      <c r="A4147" t="s">
        <v>4312</v>
      </c>
      <c r="B4147" s="23">
        <v>68</v>
      </c>
    </row>
    <row r="4148" spans="1:2" x14ac:dyDescent="0.25">
      <c r="A4148" t="s">
        <v>4313</v>
      </c>
      <c r="B4148" s="23">
        <v>68</v>
      </c>
    </row>
    <row r="4149" spans="1:2" x14ac:dyDescent="0.25">
      <c r="A4149" t="s">
        <v>4314</v>
      </c>
      <c r="B4149" s="23">
        <v>67</v>
      </c>
    </row>
    <row r="4150" spans="1:2" x14ac:dyDescent="0.25">
      <c r="A4150" t="s">
        <v>4315</v>
      </c>
      <c r="B4150" s="23">
        <v>65</v>
      </c>
    </row>
    <row r="4151" spans="1:2" x14ac:dyDescent="0.25">
      <c r="A4151" t="s">
        <v>4316</v>
      </c>
      <c r="B4151" s="23">
        <v>64</v>
      </c>
    </row>
    <row r="4152" spans="1:2" x14ac:dyDescent="0.25">
      <c r="A4152" t="s">
        <v>4317</v>
      </c>
      <c r="B4152" s="23">
        <v>62</v>
      </c>
    </row>
    <row r="4153" spans="1:2" x14ac:dyDescent="0.25">
      <c r="A4153" t="s">
        <v>4318</v>
      </c>
      <c r="B4153" s="23">
        <v>60</v>
      </c>
    </row>
    <row r="4154" spans="1:2" x14ac:dyDescent="0.25">
      <c r="A4154" t="s">
        <v>4319</v>
      </c>
      <c r="B4154" s="23">
        <v>58</v>
      </c>
    </row>
    <row r="4155" spans="1:2" x14ac:dyDescent="0.25">
      <c r="A4155" t="s">
        <v>4320</v>
      </c>
      <c r="B4155" s="23">
        <v>56</v>
      </c>
    </row>
    <row r="4156" spans="1:2" x14ac:dyDescent="0.25">
      <c r="A4156" t="s">
        <v>4321</v>
      </c>
      <c r="B4156" s="23">
        <v>54</v>
      </c>
    </row>
    <row r="4157" spans="1:2" x14ac:dyDescent="0.25">
      <c r="A4157" t="s">
        <v>4322</v>
      </c>
      <c r="B4157" s="23">
        <v>52</v>
      </c>
    </row>
    <row r="4158" spans="1:2" x14ac:dyDescent="0.25">
      <c r="A4158" t="s">
        <v>4323</v>
      </c>
      <c r="B4158" s="23">
        <v>50</v>
      </c>
    </row>
    <row r="4159" spans="1:2" x14ac:dyDescent="0.25">
      <c r="A4159" t="s">
        <v>4324</v>
      </c>
      <c r="B4159" s="23">
        <v>48</v>
      </c>
    </row>
    <row r="4160" spans="1:2" x14ac:dyDescent="0.25">
      <c r="A4160" t="s">
        <v>4325</v>
      </c>
      <c r="B4160" s="23">
        <v>46</v>
      </c>
    </row>
    <row r="4161" spans="1:2" x14ac:dyDescent="0.25">
      <c r="A4161" t="s">
        <v>4326</v>
      </c>
      <c r="B4161" s="23">
        <v>44</v>
      </c>
    </row>
    <row r="4162" spans="1:2" x14ac:dyDescent="0.25">
      <c r="A4162" t="s">
        <v>4327</v>
      </c>
      <c r="B4162" s="23">
        <v>42</v>
      </c>
    </row>
    <row r="4163" spans="1:2" x14ac:dyDescent="0.25">
      <c r="A4163" t="s">
        <v>4328</v>
      </c>
      <c r="B4163" s="23">
        <v>40</v>
      </c>
    </row>
    <row r="4164" spans="1:2" x14ac:dyDescent="0.25">
      <c r="A4164" t="s">
        <v>4329</v>
      </c>
      <c r="B4164" s="23">
        <v>38</v>
      </c>
    </row>
    <row r="4165" spans="1:2" x14ac:dyDescent="0.25">
      <c r="A4165" t="s">
        <v>4330</v>
      </c>
      <c r="B4165" s="23">
        <v>36</v>
      </c>
    </row>
    <row r="4166" spans="1:2" x14ac:dyDescent="0.25">
      <c r="A4166" t="s">
        <v>4331</v>
      </c>
      <c r="B4166" s="23">
        <v>34</v>
      </c>
    </row>
    <row r="4167" spans="1:2" x14ac:dyDescent="0.25">
      <c r="A4167" t="s">
        <v>4332</v>
      </c>
      <c r="B4167" s="23">
        <v>32</v>
      </c>
    </row>
    <row r="4168" spans="1:2" x14ac:dyDescent="0.25">
      <c r="A4168" t="s">
        <v>4333</v>
      </c>
      <c r="B4168" s="23">
        <v>30</v>
      </c>
    </row>
    <row r="4169" spans="1:2" x14ac:dyDescent="0.25">
      <c r="A4169" t="s">
        <v>4334</v>
      </c>
      <c r="B4169" s="23">
        <v>28</v>
      </c>
    </row>
    <row r="4170" spans="1:2" x14ac:dyDescent="0.25">
      <c r="A4170" t="s">
        <v>4335</v>
      </c>
      <c r="B4170" s="23">
        <v>26</v>
      </c>
    </row>
    <row r="4171" spans="1:2" x14ac:dyDescent="0.25">
      <c r="A4171" t="s">
        <v>4336</v>
      </c>
      <c r="B4171" s="23">
        <v>23</v>
      </c>
    </row>
    <row r="4172" spans="1:2" x14ac:dyDescent="0.25">
      <c r="A4172" t="s">
        <v>4337</v>
      </c>
      <c r="B4172" s="23">
        <v>20</v>
      </c>
    </row>
    <row r="4173" spans="1:2" x14ac:dyDescent="0.25">
      <c r="A4173" t="s">
        <v>4338</v>
      </c>
      <c r="B4173" s="23">
        <v>17</v>
      </c>
    </row>
    <row r="4174" spans="1:2" x14ac:dyDescent="0.25">
      <c r="A4174" t="s">
        <v>4339</v>
      </c>
      <c r="B4174" s="23">
        <v>14</v>
      </c>
    </row>
    <row r="4175" spans="1:2" x14ac:dyDescent="0.25">
      <c r="A4175" t="s">
        <v>4340</v>
      </c>
      <c r="B4175" s="23">
        <v>11</v>
      </c>
    </row>
    <row r="4176" spans="1:2" x14ac:dyDescent="0.25">
      <c r="A4176" t="s">
        <v>4341</v>
      </c>
      <c r="B4176" s="23">
        <v>8</v>
      </c>
    </row>
    <row r="4177" spans="1:2" x14ac:dyDescent="0.25">
      <c r="A4177" t="s">
        <v>4342</v>
      </c>
      <c r="B4177" s="23">
        <v>5</v>
      </c>
    </row>
    <row r="4178" spans="1:2" x14ac:dyDescent="0.25">
      <c r="A4178" t="s">
        <v>4343</v>
      </c>
      <c r="B4178" s="23">
        <v>5</v>
      </c>
    </row>
    <row r="4179" spans="1:2" x14ac:dyDescent="0.25">
      <c r="A4179" t="s">
        <v>4344</v>
      </c>
      <c r="B4179" s="23">
        <v>3</v>
      </c>
    </row>
    <row r="4180" spans="1:2" x14ac:dyDescent="0.25">
      <c r="A4180" t="s">
        <v>4345</v>
      </c>
      <c r="B4180" s="23">
        <v>1</v>
      </c>
    </row>
    <row r="4181" spans="1:2" x14ac:dyDescent="0.25">
      <c r="A4181" t="s">
        <v>4346</v>
      </c>
      <c r="B4181" s="23">
        <v>0</v>
      </c>
    </row>
    <row r="4182" spans="1:2" x14ac:dyDescent="0.25">
      <c r="A4182" s="23" t="s">
        <v>4347</v>
      </c>
      <c r="B4182" s="23">
        <v>70</v>
      </c>
    </row>
    <row r="4183" spans="1:2" x14ac:dyDescent="0.25">
      <c r="A4183" t="s">
        <v>4348</v>
      </c>
      <c r="B4183" s="23">
        <v>70</v>
      </c>
    </row>
    <row r="4184" spans="1:2" x14ac:dyDescent="0.25">
      <c r="A4184" t="s">
        <v>4349</v>
      </c>
      <c r="B4184" s="23">
        <v>70</v>
      </c>
    </row>
    <row r="4185" spans="1:2" x14ac:dyDescent="0.25">
      <c r="A4185" t="s">
        <v>4350</v>
      </c>
      <c r="B4185" s="23">
        <v>70</v>
      </c>
    </row>
    <row r="4186" spans="1:2" x14ac:dyDescent="0.25">
      <c r="A4186" t="s">
        <v>4351</v>
      </c>
      <c r="B4186" s="23">
        <v>70</v>
      </c>
    </row>
    <row r="4187" spans="1:2" x14ac:dyDescent="0.25">
      <c r="A4187" t="s">
        <v>4352</v>
      </c>
      <c r="B4187" s="23">
        <v>70</v>
      </c>
    </row>
    <row r="4188" spans="1:2" x14ac:dyDescent="0.25">
      <c r="A4188" t="s">
        <v>4353</v>
      </c>
      <c r="B4188" s="23">
        <v>70</v>
      </c>
    </row>
    <row r="4189" spans="1:2" x14ac:dyDescent="0.25">
      <c r="A4189" t="s">
        <v>4354</v>
      </c>
      <c r="B4189" s="23">
        <v>70</v>
      </c>
    </row>
    <row r="4190" spans="1:2" x14ac:dyDescent="0.25">
      <c r="A4190" t="s">
        <v>4355</v>
      </c>
      <c r="B4190" s="23">
        <v>70</v>
      </c>
    </row>
    <row r="4191" spans="1:2" x14ac:dyDescent="0.25">
      <c r="A4191" t="s">
        <v>4356</v>
      </c>
      <c r="B4191" s="23">
        <v>70</v>
      </c>
    </row>
    <row r="4192" spans="1:2" x14ac:dyDescent="0.25">
      <c r="A4192" t="s">
        <v>4357</v>
      </c>
      <c r="B4192" s="23">
        <v>70</v>
      </c>
    </row>
    <row r="4193" spans="1:2" x14ac:dyDescent="0.25">
      <c r="A4193" t="s">
        <v>4358</v>
      </c>
      <c r="B4193" s="23">
        <v>70</v>
      </c>
    </row>
    <row r="4194" spans="1:2" x14ac:dyDescent="0.25">
      <c r="A4194" t="s">
        <v>4359</v>
      </c>
      <c r="B4194" s="23">
        <v>70</v>
      </c>
    </row>
    <row r="4195" spans="1:2" x14ac:dyDescent="0.25">
      <c r="A4195" t="s">
        <v>4360</v>
      </c>
      <c r="B4195" s="23">
        <v>70</v>
      </c>
    </row>
    <row r="4196" spans="1:2" x14ac:dyDescent="0.25">
      <c r="A4196" t="s">
        <v>4361</v>
      </c>
      <c r="B4196" s="23">
        <v>70</v>
      </c>
    </row>
    <row r="4197" spans="1:2" x14ac:dyDescent="0.25">
      <c r="A4197" t="s">
        <v>4362</v>
      </c>
      <c r="B4197" s="23">
        <v>68</v>
      </c>
    </row>
    <row r="4198" spans="1:2" x14ac:dyDescent="0.25">
      <c r="A4198" t="s">
        <v>4363</v>
      </c>
      <c r="B4198" s="23">
        <v>66</v>
      </c>
    </row>
    <row r="4199" spans="1:2" x14ac:dyDescent="0.25">
      <c r="A4199" t="s">
        <v>4364</v>
      </c>
      <c r="B4199" s="23">
        <v>65</v>
      </c>
    </row>
    <row r="4200" spans="1:2" x14ac:dyDescent="0.25">
      <c r="A4200" t="s">
        <v>4365</v>
      </c>
      <c r="B4200" s="23">
        <v>64</v>
      </c>
    </row>
    <row r="4201" spans="1:2" x14ac:dyDescent="0.25">
      <c r="A4201" t="s">
        <v>4366</v>
      </c>
      <c r="B4201" s="23">
        <v>62</v>
      </c>
    </row>
    <row r="4202" spans="1:2" x14ac:dyDescent="0.25">
      <c r="A4202" t="s">
        <v>4367</v>
      </c>
      <c r="B4202" s="23">
        <v>60</v>
      </c>
    </row>
    <row r="4203" spans="1:2" x14ac:dyDescent="0.25">
      <c r="A4203" t="s">
        <v>4368</v>
      </c>
      <c r="B4203" s="23">
        <v>58</v>
      </c>
    </row>
    <row r="4204" spans="1:2" x14ac:dyDescent="0.25">
      <c r="A4204" t="s">
        <v>4369</v>
      </c>
      <c r="B4204" s="23">
        <v>57</v>
      </c>
    </row>
    <row r="4205" spans="1:2" x14ac:dyDescent="0.25">
      <c r="A4205" t="s">
        <v>4370</v>
      </c>
      <c r="B4205" s="23">
        <v>56</v>
      </c>
    </row>
    <row r="4206" spans="1:2" x14ac:dyDescent="0.25">
      <c r="A4206" t="s">
        <v>4371</v>
      </c>
      <c r="B4206" s="23">
        <v>55</v>
      </c>
    </row>
    <row r="4207" spans="1:2" x14ac:dyDescent="0.25">
      <c r="A4207" t="s">
        <v>4372</v>
      </c>
      <c r="B4207" s="23">
        <v>53</v>
      </c>
    </row>
    <row r="4208" spans="1:2" x14ac:dyDescent="0.25">
      <c r="A4208" t="s">
        <v>4373</v>
      </c>
      <c r="B4208" s="23">
        <v>52</v>
      </c>
    </row>
    <row r="4209" spans="1:2" x14ac:dyDescent="0.25">
      <c r="A4209" t="s">
        <v>4374</v>
      </c>
      <c r="B4209" s="23">
        <v>50</v>
      </c>
    </row>
    <row r="4210" spans="1:2" x14ac:dyDescent="0.25">
      <c r="A4210" t="s">
        <v>4375</v>
      </c>
      <c r="B4210" s="23">
        <v>49</v>
      </c>
    </row>
    <row r="4211" spans="1:2" x14ac:dyDescent="0.25">
      <c r="A4211" t="s">
        <v>4376</v>
      </c>
      <c r="B4211" s="23">
        <v>47</v>
      </c>
    </row>
    <row r="4212" spans="1:2" x14ac:dyDescent="0.25">
      <c r="A4212" t="s">
        <v>4377</v>
      </c>
      <c r="B4212" s="23">
        <v>46</v>
      </c>
    </row>
    <row r="4213" spans="1:2" x14ac:dyDescent="0.25">
      <c r="A4213" t="s">
        <v>4378</v>
      </c>
      <c r="B4213" s="23">
        <v>44</v>
      </c>
    </row>
    <row r="4214" spans="1:2" x14ac:dyDescent="0.25">
      <c r="A4214" t="s">
        <v>4379</v>
      </c>
      <c r="B4214" s="23">
        <v>42</v>
      </c>
    </row>
    <row r="4215" spans="1:2" x14ac:dyDescent="0.25">
      <c r="A4215" t="s">
        <v>4380</v>
      </c>
      <c r="B4215" s="23">
        <v>40</v>
      </c>
    </row>
    <row r="4216" spans="1:2" x14ac:dyDescent="0.25">
      <c r="A4216" t="s">
        <v>4381</v>
      </c>
      <c r="B4216" s="23">
        <v>38</v>
      </c>
    </row>
    <row r="4217" spans="1:2" x14ac:dyDescent="0.25">
      <c r="A4217" t="s">
        <v>4382</v>
      </c>
      <c r="B4217" s="23">
        <v>36</v>
      </c>
    </row>
    <row r="4218" spans="1:2" x14ac:dyDescent="0.25">
      <c r="A4218" t="s">
        <v>4383</v>
      </c>
      <c r="B4218" s="23">
        <v>33</v>
      </c>
    </row>
    <row r="4219" spans="1:2" x14ac:dyDescent="0.25">
      <c r="A4219" t="s">
        <v>4384</v>
      </c>
      <c r="B4219" s="23">
        <v>31</v>
      </c>
    </row>
    <row r="4220" spans="1:2" x14ac:dyDescent="0.25">
      <c r="A4220" t="s">
        <v>4385</v>
      </c>
      <c r="B4220" s="23">
        <v>28</v>
      </c>
    </row>
    <row r="4221" spans="1:2" x14ac:dyDescent="0.25">
      <c r="A4221" t="s">
        <v>4386</v>
      </c>
      <c r="B4221" s="23">
        <v>25</v>
      </c>
    </row>
    <row r="4222" spans="1:2" x14ac:dyDescent="0.25">
      <c r="A4222" t="s">
        <v>4387</v>
      </c>
      <c r="B4222" s="23">
        <v>22</v>
      </c>
    </row>
    <row r="4223" spans="1:2" x14ac:dyDescent="0.25">
      <c r="A4223" t="s">
        <v>4388</v>
      </c>
      <c r="B4223" s="23">
        <v>19</v>
      </c>
    </row>
    <row r="4224" spans="1:2" x14ac:dyDescent="0.25">
      <c r="A4224" t="s">
        <v>4389</v>
      </c>
      <c r="B4224" s="23">
        <v>16</v>
      </c>
    </row>
    <row r="4225" spans="1:2" x14ac:dyDescent="0.25">
      <c r="A4225" t="s">
        <v>4390</v>
      </c>
      <c r="B4225" s="23">
        <v>13</v>
      </c>
    </row>
    <row r="4226" spans="1:2" x14ac:dyDescent="0.25">
      <c r="A4226" t="s">
        <v>4391</v>
      </c>
      <c r="B4226" s="23">
        <v>10</v>
      </c>
    </row>
    <row r="4227" spans="1:2" x14ac:dyDescent="0.25">
      <c r="A4227" t="s">
        <v>4392</v>
      </c>
      <c r="B4227" s="23">
        <v>8</v>
      </c>
    </row>
    <row r="4228" spans="1:2" x14ac:dyDescent="0.25">
      <c r="A4228" t="s">
        <v>4393</v>
      </c>
      <c r="B4228" s="23">
        <v>6</v>
      </c>
    </row>
    <row r="4229" spans="1:2" x14ac:dyDescent="0.25">
      <c r="A4229" t="s">
        <v>4394</v>
      </c>
      <c r="B4229" s="23">
        <v>4</v>
      </c>
    </row>
    <row r="4230" spans="1:2" x14ac:dyDescent="0.25">
      <c r="A4230" t="s">
        <v>4395</v>
      </c>
      <c r="B4230" s="23">
        <v>4</v>
      </c>
    </row>
    <row r="4231" spans="1:2" x14ac:dyDescent="0.25">
      <c r="A4231" t="s">
        <v>4396</v>
      </c>
      <c r="B4231" s="23">
        <v>1</v>
      </c>
    </row>
    <row r="4232" spans="1:2" x14ac:dyDescent="0.25">
      <c r="A4232" t="s">
        <v>4397</v>
      </c>
      <c r="B4232" s="23">
        <v>1</v>
      </c>
    </row>
    <row r="4233" spans="1:2" x14ac:dyDescent="0.25">
      <c r="A4233" t="s">
        <v>4398</v>
      </c>
      <c r="B4233" s="23">
        <v>1</v>
      </c>
    </row>
    <row r="4234" spans="1:2" x14ac:dyDescent="0.25">
      <c r="A4234" t="s">
        <v>4399</v>
      </c>
      <c r="B4234" s="23">
        <v>1</v>
      </c>
    </row>
    <row r="4235" spans="1:2" x14ac:dyDescent="0.25">
      <c r="A4235" t="s">
        <v>4400</v>
      </c>
      <c r="B4235" s="23">
        <v>1</v>
      </c>
    </row>
    <row r="4236" spans="1:2" x14ac:dyDescent="0.25">
      <c r="A4236" t="s">
        <v>4401</v>
      </c>
      <c r="B4236" s="23">
        <v>1</v>
      </c>
    </row>
    <row r="4237" spans="1:2" x14ac:dyDescent="0.25">
      <c r="A4237" t="s">
        <v>4402</v>
      </c>
      <c r="B4237" s="23">
        <v>0</v>
      </c>
    </row>
    <row r="4238" spans="1:2" x14ac:dyDescent="0.25">
      <c r="A4238" t="s">
        <v>4403</v>
      </c>
      <c r="B4238" s="23">
        <v>70</v>
      </c>
    </row>
    <row r="4239" spans="1:2" x14ac:dyDescent="0.25">
      <c r="A4239" t="s">
        <v>4404</v>
      </c>
      <c r="B4239" s="23">
        <v>70</v>
      </c>
    </row>
    <row r="4240" spans="1:2" x14ac:dyDescent="0.25">
      <c r="A4240" t="s">
        <v>4405</v>
      </c>
      <c r="B4240" s="23">
        <v>70</v>
      </c>
    </row>
    <row r="4241" spans="1:2" x14ac:dyDescent="0.25">
      <c r="A4241" t="s">
        <v>4406</v>
      </c>
      <c r="B4241" s="23">
        <v>70</v>
      </c>
    </row>
    <row r="4242" spans="1:2" x14ac:dyDescent="0.25">
      <c r="A4242" t="s">
        <v>4407</v>
      </c>
      <c r="B4242" s="23">
        <v>70</v>
      </c>
    </row>
    <row r="4243" spans="1:2" x14ac:dyDescent="0.25">
      <c r="A4243" t="s">
        <v>4408</v>
      </c>
      <c r="B4243" s="23">
        <v>70</v>
      </c>
    </row>
    <row r="4244" spans="1:2" x14ac:dyDescent="0.25">
      <c r="A4244" t="s">
        <v>4409</v>
      </c>
      <c r="B4244" s="23">
        <v>70</v>
      </c>
    </row>
    <row r="4245" spans="1:2" x14ac:dyDescent="0.25">
      <c r="A4245" t="s">
        <v>4410</v>
      </c>
      <c r="B4245" s="23">
        <v>70</v>
      </c>
    </row>
    <row r="4246" spans="1:2" x14ac:dyDescent="0.25">
      <c r="A4246" t="s">
        <v>4411</v>
      </c>
      <c r="B4246" s="23">
        <v>70</v>
      </c>
    </row>
    <row r="4247" spans="1:2" x14ac:dyDescent="0.25">
      <c r="A4247" t="s">
        <v>4412</v>
      </c>
      <c r="B4247" s="23">
        <v>70</v>
      </c>
    </row>
    <row r="4248" spans="1:2" x14ac:dyDescent="0.25">
      <c r="A4248" t="s">
        <v>4413</v>
      </c>
      <c r="B4248" s="23">
        <v>70</v>
      </c>
    </row>
    <row r="4249" spans="1:2" x14ac:dyDescent="0.25">
      <c r="A4249" t="s">
        <v>4414</v>
      </c>
      <c r="B4249" s="23">
        <v>70</v>
      </c>
    </row>
    <row r="4250" spans="1:2" x14ac:dyDescent="0.25">
      <c r="A4250" t="s">
        <v>4415</v>
      </c>
      <c r="B4250" s="23">
        <v>70</v>
      </c>
    </row>
    <row r="4251" spans="1:2" x14ac:dyDescent="0.25">
      <c r="A4251" t="s">
        <v>4416</v>
      </c>
      <c r="B4251" s="23">
        <v>70</v>
      </c>
    </row>
    <row r="4252" spans="1:2" x14ac:dyDescent="0.25">
      <c r="A4252" t="s">
        <v>4417</v>
      </c>
      <c r="B4252" s="23">
        <v>70</v>
      </c>
    </row>
    <row r="4253" spans="1:2" x14ac:dyDescent="0.25">
      <c r="A4253" t="s">
        <v>4418</v>
      </c>
      <c r="B4253" s="23">
        <v>70</v>
      </c>
    </row>
    <row r="4254" spans="1:2" x14ac:dyDescent="0.25">
      <c r="A4254" t="s">
        <v>4419</v>
      </c>
      <c r="B4254" s="23">
        <v>70</v>
      </c>
    </row>
    <row r="4255" spans="1:2" x14ac:dyDescent="0.25">
      <c r="A4255" t="s">
        <v>4420</v>
      </c>
      <c r="B4255" s="23">
        <v>70</v>
      </c>
    </row>
    <row r="4256" spans="1:2" x14ac:dyDescent="0.25">
      <c r="A4256" t="s">
        <v>4421</v>
      </c>
      <c r="B4256" s="23">
        <v>70</v>
      </c>
    </row>
    <row r="4257" spans="1:2" x14ac:dyDescent="0.25">
      <c r="A4257" t="s">
        <v>4422</v>
      </c>
      <c r="B4257" s="23">
        <v>70</v>
      </c>
    </row>
    <row r="4258" spans="1:2" x14ac:dyDescent="0.25">
      <c r="A4258" t="s">
        <v>4423</v>
      </c>
      <c r="B4258" s="23">
        <v>70</v>
      </c>
    </row>
    <row r="4259" spans="1:2" x14ac:dyDescent="0.25">
      <c r="A4259" t="s">
        <v>4424</v>
      </c>
      <c r="B4259" s="23">
        <v>67</v>
      </c>
    </row>
    <row r="4260" spans="1:2" x14ac:dyDescent="0.25">
      <c r="A4260" t="s">
        <v>4425</v>
      </c>
      <c r="B4260" s="23">
        <v>64</v>
      </c>
    </row>
    <row r="4261" spans="1:2" x14ac:dyDescent="0.25">
      <c r="A4261" t="s">
        <v>4426</v>
      </c>
      <c r="B4261" s="23">
        <v>61</v>
      </c>
    </row>
    <row r="4262" spans="1:2" x14ac:dyDescent="0.25">
      <c r="A4262" t="s">
        <v>4427</v>
      </c>
      <c r="B4262" s="23">
        <v>58</v>
      </c>
    </row>
    <row r="4263" spans="1:2" x14ac:dyDescent="0.25">
      <c r="A4263" t="s">
        <v>4428</v>
      </c>
      <c r="B4263" s="23">
        <v>55</v>
      </c>
    </row>
    <row r="4264" spans="1:2" x14ac:dyDescent="0.25">
      <c r="A4264" t="s">
        <v>4429</v>
      </c>
      <c r="B4264" s="23">
        <v>52</v>
      </c>
    </row>
    <row r="4265" spans="1:2" x14ac:dyDescent="0.25">
      <c r="A4265" t="s">
        <v>4430</v>
      </c>
      <c r="B4265" s="23">
        <v>49</v>
      </c>
    </row>
    <row r="4266" spans="1:2" x14ac:dyDescent="0.25">
      <c r="A4266" t="s">
        <v>4431</v>
      </c>
      <c r="B4266" s="23">
        <v>46</v>
      </c>
    </row>
    <row r="4267" spans="1:2" x14ac:dyDescent="0.25">
      <c r="A4267" t="s">
        <v>4432</v>
      </c>
      <c r="B4267" s="23">
        <v>43</v>
      </c>
    </row>
    <row r="4268" spans="1:2" x14ac:dyDescent="0.25">
      <c r="A4268" t="s">
        <v>4433</v>
      </c>
      <c r="B4268" s="23">
        <v>40</v>
      </c>
    </row>
    <row r="4269" spans="1:2" x14ac:dyDescent="0.25">
      <c r="A4269" t="s">
        <v>4434</v>
      </c>
      <c r="B4269" s="23">
        <v>37</v>
      </c>
    </row>
    <row r="4270" spans="1:2" x14ac:dyDescent="0.25">
      <c r="A4270" t="s">
        <v>4435</v>
      </c>
      <c r="B4270" s="23">
        <v>34</v>
      </c>
    </row>
    <row r="4271" spans="1:2" x14ac:dyDescent="0.25">
      <c r="A4271" t="s">
        <v>4436</v>
      </c>
      <c r="B4271" s="23">
        <v>31</v>
      </c>
    </row>
    <row r="4272" spans="1:2" x14ac:dyDescent="0.25">
      <c r="A4272" t="s">
        <v>4437</v>
      </c>
      <c r="B4272" s="23">
        <v>28</v>
      </c>
    </row>
    <row r="4273" spans="1:2" x14ac:dyDescent="0.25">
      <c r="A4273" t="s">
        <v>4438</v>
      </c>
      <c r="B4273" s="23">
        <v>21</v>
      </c>
    </row>
    <row r="4274" spans="1:2" x14ac:dyDescent="0.25">
      <c r="A4274" t="s">
        <v>4439</v>
      </c>
      <c r="B4274" s="23">
        <v>14</v>
      </c>
    </row>
    <row r="4275" spans="1:2" x14ac:dyDescent="0.25">
      <c r="A4275" t="s">
        <v>4440</v>
      </c>
      <c r="B4275" s="23">
        <v>6</v>
      </c>
    </row>
    <row r="4276" spans="1:2" x14ac:dyDescent="0.25">
      <c r="A4276" t="s">
        <v>4441</v>
      </c>
      <c r="B4276" s="23">
        <v>70</v>
      </c>
    </row>
    <row r="4277" spans="1:2" x14ac:dyDescent="0.25">
      <c r="A4277" t="s">
        <v>4442</v>
      </c>
      <c r="B4277" s="23">
        <v>70</v>
      </c>
    </row>
    <row r="4278" spans="1:2" x14ac:dyDescent="0.25">
      <c r="A4278" t="s">
        <v>4443</v>
      </c>
      <c r="B4278" s="23">
        <v>70</v>
      </c>
    </row>
    <row r="4279" spans="1:2" x14ac:dyDescent="0.25">
      <c r="A4279" t="s">
        <v>4444</v>
      </c>
      <c r="B4279" s="23">
        <v>70</v>
      </c>
    </row>
    <row r="4280" spans="1:2" x14ac:dyDescent="0.25">
      <c r="A4280" t="s">
        <v>4445</v>
      </c>
      <c r="B4280" s="23">
        <v>70</v>
      </c>
    </row>
    <row r="4281" spans="1:2" x14ac:dyDescent="0.25">
      <c r="A4281" t="s">
        <v>4446</v>
      </c>
      <c r="B4281" s="23">
        <v>70</v>
      </c>
    </row>
    <row r="4282" spans="1:2" x14ac:dyDescent="0.25">
      <c r="A4282" t="s">
        <v>4447</v>
      </c>
      <c r="B4282" s="23">
        <v>70</v>
      </c>
    </row>
    <row r="4283" spans="1:2" x14ac:dyDescent="0.25">
      <c r="A4283" t="s">
        <v>4448</v>
      </c>
      <c r="B4283" s="23">
        <v>70</v>
      </c>
    </row>
    <row r="4284" spans="1:2" x14ac:dyDescent="0.25">
      <c r="A4284" t="s">
        <v>4449</v>
      </c>
      <c r="B4284" s="23">
        <v>70</v>
      </c>
    </row>
    <row r="4285" spans="1:2" x14ac:dyDescent="0.25">
      <c r="A4285" t="s">
        <v>4450</v>
      </c>
      <c r="B4285" s="23">
        <v>70</v>
      </c>
    </row>
    <row r="4286" spans="1:2" x14ac:dyDescent="0.25">
      <c r="A4286" t="s">
        <v>4451</v>
      </c>
      <c r="B4286" s="23">
        <v>70</v>
      </c>
    </row>
    <row r="4287" spans="1:2" x14ac:dyDescent="0.25">
      <c r="A4287" t="s">
        <v>4452</v>
      </c>
      <c r="B4287" s="23">
        <v>70</v>
      </c>
    </row>
    <row r="4288" spans="1:2" x14ac:dyDescent="0.25">
      <c r="A4288" t="s">
        <v>4453</v>
      </c>
      <c r="B4288" s="23">
        <v>70</v>
      </c>
    </row>
    <row r="4289" spans="1:2" x14ac:dyDescent="0.25">
      <c r="A4289" t="s">
        <v>4454</v>
      </c>
      <c r="B4289" s="23">
        <v>70</v>
      </c>
    </row>
    <row r="4290" spans="1:2" x14ac:dyDescent="0.25">
      <c r="A4290" t="s">
        <v>4455</v>
      </c>
      <c r="B4290" s="23">
        <v>70</v>
      </c>
    </row>
    <row r="4291" spans="1:2" x14ac:dyDescent="0.25">
      <c r="A4291" t="s">
        <v>4456</v>
      </c>
      <c r="B4291" s="23">
        <v>70</v>
      </c>
    </row>
    <row r="4292" spans="1:2" x14ac:dyDescent="0.25">
      <c r="A4292" t="s">
        <v>4457</v>
      </c>
      <c r="B4292" s="23">
        <v>70</v>
      </c>
    </row>
    <row r="4293" spans="1:2" x14ac:dyDescent="0.25">
      <c r="A4293" t="s">
        <v>4458</v>
      </c>
      <c r="B4293" s="23">
        <v>70</v>
      </c>
    </row>
    <row r="4294" spans="1:2" x14ac:dyDescent="0.25">
      <c r="A4294" t="s">
        <v>4459</v>
      </c>
      <c r="B4294" s="23">
        <v>70</v>
      </c>
    </row>
    <row r="4295" spans="1:2" x14ac:dyDescent="0.25">
      <c r="A4295" t="s">
        <v>4460</v>
      </c>
      <c r="B4295" s="23">
        <v>68</v>
      </c>
    </row>
    <row r="4296" spans="1:2" x14ac:dyDescent="0.25">
      <c r="A4296" t="s">
        <v>4461</v>
      </c>
      <c r="B4296" s="23">
        <v>66</v>
      </c>
    </row>
    <row r="4297" spans="1:2" x14ac:dyDescent="0.25">
      <c r="A4297" t="s">
        <v>4462</v>
      </c>
      <c r="B4297" s="23">
        <v>64</v>
      </c>
    </row>
    <row r="4298" spans="1:2" x14ac:dyDescent="0.25">
      <c r="A4298" t="s">
        <v>4463</v>
      </c>
      <c r="B4298" s="23">
        <v>61</v>
      </c>
    </row>
    <row r="4299" spans="1:2" x14ac:dyDescent="0.25">
      <c r="A4299" t="s">
        <v>4464</v>
      </c>
      <c r="B4299" s="23">
        <v>58</v>
      </c>
    </row>
    <row r="4300" spans="1:2" x14ac:dyDescent="0.25">
      <c r="A4300" t="s">
        <v>4465</v>
      </c>
      <c r="B4300" s="23">
        <v>55</v>
      </c>
    </row>
    <row r="4301" spans="1:2" x14ac:dyDescent="0.25">
      <c r="A4301" t="s">
        <v>4466</v>
      </c>
      <c r="B4301" s="23">
        <v>52</v>
      </c>
    </row>
    <row r="4302" spans="1:2" x14ac:dyDescent="0.25">
      <c r="A4302" t="s">
        <v>4467</v>
      </c>
      <c r="B4302" s="23">
        <v>49</v>
      </c>
    </row>
    <row r="4303" spans="1:2" x14ac:dyDescent="0.25">
      <c r="A4303" t="s">
        <v>4468</v>
      </c>
      <c r="B4303" s="23">
        <v>46</v>
      </c>
    </row>
    <row r="4304" spans="1:2" x14ac:dyDescent="0.25">
      <c r="A4304" t="s">
        <v>4469</v>
      </c>
      <c r="B4304" s="23">
        <v>43</v>
      </c>
    </row>
    <row r="4305" spans="1:2" x14ac:dyDescent="0.25">
      <c r="A4305" t="s">
        <v>4470</v>
      </c>
      <c r="B4305" s="23">
        <v>40</v>
      </c>
    </row>
    <row r="4306" spans="1:2" x14ac:dyDescent="0.25">
      <c r="A4306" t="s">
        <v>4471</v>
      </c>
      <c r="B4306" s="23">
        <v>37</v>
      </c>
    </row>
    <row r="4307" spans="1:2" x14ac:dyDescent="0.25">
      <c r="A4307" t="s">
        <v>4472</v>
      </c>
      <c r="B4307" s="23">
        <v>34</v>
      </c>
    </row>
    <row r="4308" spans="1:2" x14ac:dyDescent="0.25">
      <c r="A4308" t="s">
        <v>4473</v>
      </c>
      <c r="B4308" s="23">
        <v>31</v>
      </c>
    </row>
    <row r="4309" spans="1:2" x14ac:dyDescent="0.25">
      <c r="A4309" t="s">
        <v>4474</v>
      </c>
      <c r="B4309" s="23">
        <v>28</v>
      </c>
    </row>
    <row r="4310" spans="1:2" x14ac:dyDescent="0.25">
      <c r="A4310" t="s">
        <v>4475</v>
      </c>
      <c r="B4310" s="23">
        <v>25</v>
      </c>
    </row>
    <row r="4311" spans="1:2" x14ac:dyDescent="0.25">
      <c r="A4311" t="s">
        <v>4476</v>
      </c>
      <c r="B4311" s="23">
        <v>18</v>
      </c>
    </row>
    <row r="4312" spans="1:2" x14ac:dyDescent="0.25">
      <c r="A4312" t="s">
        <v>4477</v>
      </c>
      <c r="B4312" s="23">
        <v>11</v>
      </c>
    </row>
    <row r="4313" spans="1:2" x14ac:dyDescent="0.25">
      <c r="A4313" t="s">
        <v>4478</v>
      </c>
      <c r="B4313" s="23">
        <v>4</v>
      </c>
    </row>
    <row r="4314" spans="1:2" x14ac:dyDescent="0.25">
      <c r="A4314" t="s">
        <v>4479</v>
      </c>
      <c r="B4314" s="23">
        <v>70</v>
      </c>
    </row>
    <row r="4315" spans="1:2" x14ac:dyDescent="0.25">
      <c r="A4315" t="s">
        <v>4480</v>
      </c>
      <c r="B4315" s="23">
        <v>70</v>
      </c>
    </row>
    <row r="4316" spans="1:2" x14ac:dyDescent="0.25">
      <c r="A4316" t="s">
        <v>4481</v>
      </c>
      <c r="B4316" s="23">
        <v>70</v>
      </c>
    </row>
    <row r="4317" spans="1:2" x14ac:dyDescent="0.25">
      <c r="A4317" t="s">
        <v>4482</v>
      </c>
      <c r="B4317" s="23">
        <v>70</v>
      </c>
    </row>
    <row r="4318" spans="1:2" x14ac:dyDescent="0.25">
      <c r="A4318" t="s">
        <v>4483</v>
      </c>
      <c r="B4318" s="23">
        <v>70</v>
      </c>
    </row>
    <row r="4319" spans="1:2" x14ac:dyDescent="0.25">
      <c r="A4319" t="s">
        <v>4484</v>
      </c>
      <c r="B4319" s="23">
        <v>70</v>
      </c>
    </row>
    <row r="4320" spans="1:2" x14ac:dyDescent="0.25">
      <c r="A4320" t="s">
        <v>4485</v>
      </c>
      <c r="B4320" s="23">
        <v>70</v>
      </c>
    </row>
    <row r="4321" spans="1:2" x14ac:dyDescent="0.25">
      <c r="A4321" t="s">
        <v>4486</v>
      </c>
      <c r="B4321" s="23">
        <v>70</v>
      </c>
    </row>
    <row r="4322" spans="1:2" x14ac:dyDescent="0.25">
      <c r="A4322" t="s">
        <v>4487</v>
      </c>
      <c r="B4322" s="23">
        <v>70</v>
      </c>
    </row>
    <row r="4323" spans="1:2" x14ac:dyDescent="0.25">
      <c r="A4323" t="s">
        <v>4488</v>
      </c>
      <c r="B4323" s="23">
        <v>70</v>
      </c>
    </row>
    <row r="4324" spans="1:2" x14ac:dyDescent="0.25">
      <c r="A4324" t="s">
        <v>4489</v>
      </c>
      <c r="B4324" s="23">
        <v>70</v>
      </c>
    </row>
    <row r="4325" spans="1:2" x14ac:dyDescent="0.25">
      <c r="A4325" t="s">
        <v>4490</v>
      </c>
      <c r="B4325" s="23">
        <v>70</v>
      </c>
    </row>
    <row r="4326" spans="1:2" x14ac:dyDescent="0.25">
      <c r="A4326" t="s">
        <v>4491</v>
      </c>
      <c r="B4326" s="23">
        <v>70</v>
      </c>
    </row>
    <row r="4327" spans="1:2" x14ac:dyDescent="0.25">
      <c r="A4327" t="s">
        <v>4492</v>
      </c>
      <c r="B4327" s="23">
        <v>70</v>
      </c>
    </row>
    <row r="4328" spans="1:2" x14ac:dyDescent="0.25">
      <c r="A4328" t="s">
        <v>4493</v>
      </c>
      <c r="B4328" s="23">
        <v>70</v>
      </c>
    </row>
    <row r="4329" spans="1:2" x14ac:dyDescent="0.25">
      <c r="A4329" t="s">
        <v>4494</v>
      </c>
      <c r="B4329" s="23">
        <v>70</v>
      </c>
    </row>
    <row r="4330" spans="1:2" x14ac:dyDescent="0.25">
      <c r="A4330" t="s">
        <v>4495</v>
      </c>
      <c r="B4330" s="23">
        <v>70</v>
      </c>
    </row>
    <row r="4331" spans="1:2" x14ac:dyDescent="0.25">
      <c r="A4331" t="s">
        <v>4496</v>
      </c>
      <c r="B4331" s="23">
        <v>70</v>
      </c>
    </row>
    <row r="4332" spans="1:2" x14ac:dyDescent="0.25">
      <c r="A4332" t="s">
        <v>4497</v>
      </c>
      <c r="B4332" s="23">
        <v>70</v>
      </c>
    </row>
    <row r="4333" spans="1:2" x14ac:dyDescent="0.25">
      <c r="A4333" t="s">
        <v>4498</v>
      </c>
      <c r="B4333" s="23">
        <v>68</v>
      </c>
    </row>
    <row r="4334" spans="1:2" x14ac:dyDescent="0.25">
      <c r="A4334" t="s">
        <v>4499</v>
      </c>
      <c r="B4334" s="23">
        <v>66</v>
      </c>
    </row>
    <row r="4335" spans="1:2" x14ac:dyDescent="0.25">
      <c r="A4335" t="s">
        <v>4500</v>
      </c>
      <c r="B4335" s="23">
        <v>64</v>
      </c>
    </row>
    <row r="4336" spans="1:2" x14ac:dyDescent="0.25">
      <c r="A4336" t="s">
        <v>4501</v>
      </c>
      <c r="B4336" s="23">
        <v>61</v>
      </c>
    </row>
    <row r="4337" spans="1:2" x14ac:dyDescent="0.25">
      <c r="A4337" t="s">
        <v>4502</v>
      </c>
      <c r="B4337" s="23">
        <v>58</v>
      </c>
    </row>
    <row r="4338" spans="1:2" x14ac:dyDescent="0.25">
      <c r="A4338" t="s">
        <v>4503</v>
      </c>
      <c r="B4338" s="23">
        <v>55</v>
      </c>
    </row>
    <row r="4339" spans="1:2" x14ac:dyDescent="0.25">
      <c r="A4339" t="s">
        <v>4504</v>
      </c>
      <c r="B4339" s="23">
        <v>52</v>
      </c>
    </row>
    <row r="4340" spans="1:2" x14ac:dyDescent="0.25">
      <c r="A4340" t="s">
        <v>4505</v>
      </c>
      <c r="B4340" s="23">
        <v>49</v>
      </c>
    </row>
    <row r="4341" spans="1:2" x14ac:dyDescent="0.25">
      <c r="A4341" t="s">
        <v>4506</v>
      </c>
      <c r="B4341" s="23">
        <v>46</v>
      </c>
    </row>
    <row r="4342" spans="1:2" x14ac:dyDescent="0.25">
      <c r="A4342" t="s">
        <v>4507</v>
      </c>
      <c r="B4342" s="23">
        <v>43</v>
      </c>
    </row>
    <row r="4343" spans="1:2" x14ac:dyDescent="0.25">
      <c r="A4343" t="s">
        <v>4508</v>
      </c>
      <c r="B4343" s="23">
        <v>40</v>
      </c>
    </row>
    <row r="4344" spans="1:2" x14ac:dyDescent="0.25">
      <c r="A4344" t="s">
        <v>4509</v>
      </c>
      <c r="B4344" s="23">
        <v>37</v>
      </c>
    </row>
    <row r="4345" spans="1:2" x14ac:dyDescent="0.25">
      <c r="A4345" t="s">
        <v>4510</v>
      </c>
      <c r="B4345" s="23">
        <v>34</v>
      </c>
    </row>
    <row r="4346" spans="1:2" x14ac:dyDescent="0.25">
      <c r="A4346" t="s">
        <v>4511</v>
      </c>
      <c r="B4346" s="23">
        <v>31</v>
      </c>
    </row>
    <row r="4347" spans="1:2" x14ac:dyDescent="0.25">
      <c r="A4347" t="s">
        <v>4512</v>
      </c>
      <c r="B4347" s="23">
        <v>28</v>
      </c>
    </row>
    <row r="4348" spans="1:2" x14ac:dyDescent="0.25">
      <c r="A4348" t="s">
        <v>4513</v>
      </c>
      <c r="B4348" s="23">
        <v>24</v>
      </c>
    </row>
    <row r="4349" spans="1:2" x14ac:dyDescent="0.25">
      <c r="A4349" t="s">
        <v>4514</v>
      </c>
      <c r="B4349" s="23">
        <v>17</v>
      </c>
    </row>
    <row r="4350" spans="1:2" x14ac:dyDescent="0.25">
      <c r="A4350" t="s">
        <v>4515</v>
      </c>
      <c r="B4350" s="23">
        <v>10</v>
      </c>
    </row>
    <row r="4351" spans="1:2" x14ac:dyDescent="0.25">
      <c r="A4351" t="s">
        <v>4516</v>
      </c>
      <c r="B4351" s="23">
        <v>3</v>
      </c>
    </row>
    <row r="4352" spans="1:2" x14ac:dyDescent="0.25">
      <c r="A4352" t="s">
        <v>4517</v>
      </c>
      <c r="B4352" s="23">
        <v>70</v>
      </c>
    </row>
    <row r="4353" spans="1:2" x14ac:dyDescent="0.25">
      <c r="A4353" t="s">
        <v>4518</v>
      </c>
      <c r="B4353" s="23">
        <v>70</v>
      </c>
    </row>
    <row r="4354" spans="1:2" x14ac:dyDescent="0.25">
      <c r="A4354" t="s">
        <v>4519</v>
      </c>
      <c r="B4354" s="23">
        <v>70</v>
      </c>
    </row>
    <row r="4355" spans="1:2" x14ac:dyDescent="0.25">
      <c r="A4355" t="s">
        <v>4520</v>
      </c>
      <c r="B4355" s="23">
        <v>70</v>
      </c>
    </row>
    <row r="4356" spans="1:2" x14ac:dyDescent="0.25">
      <c r="A4356" t="s">
        <v>4521</v>
      </c>
      <c r="B4356" s="23">
        <v>70</v>
      </c>
    </row>
    <row r="4357" spans="1:2" x14ac:dyDescent="0.25">
      <c r="A4357" t="s">
        <v>4522</v>
      </c>
      <c r="B4357" s="23">
        <v>70</v>
      </c>
    </row>
    <row r="4358" spans="1:2" x14ac:dyDescent="0.25">
      <c r="A4358" t="s">
        <v>4523</v>
      </c>
      <c r="B4358" s="23">
        <v>70</v>
      </c>
    </row>
    <row r="4359" spans="1:2" x14ac:dyDescent="0.25">
      <c r="A4359" t="s">
        <v>4524</v>
      </c>
      <c r="B4359" s="23">
        <v>70</v>
      </c>
    </row>
    <row r="4360" spans="1:2" x14ac:dyDescent="0.25">
      <c r="A4360" t="s">
        <v>4525</v>
      </c>
      <c r="B4360" s="23">
        <v>70</v>
      </c>
    </row>
    <row r="4361" spans="1:2" x14ac:dyDescent="0.25">
      <c r="A4361" t="s">
        <v>4526</v>
      </c>
      <c r="B4361" s="23">
        <v>70</v>
      </c>
    </row>
    <row r="4362" spans="1:2" x14ac:dyDescent="0.25">
      <c r="A4362" t="s">
        <v>4527</v>
      </c>
      <c r="B4362" s="23">
        <v>70</v>
      </c>
    </row>
    <row r="4363" spans="1:2" x14ac:dyDescent="0.25">
      <c r="A4363" t="s">
        <v>4528</v>
      </c>
      <c r="B4363" s="23">
        <v>70</v>
      </c>
    </row>
    <row r="4364" spans="1:2" x14ac:dyDescent="0.25">
      <c r="A4364" t="s">
        <v>4529</v>
      </c>
      <c r="B4364" s="23">
        <v>70</v>
      </c>
    </row>
    <row r="4365" spans="1:2" x14ac:dyDescent="0.25">
      <c r="A4365" t="s">
        <v>4530</v>
      </c>
      <c r="B4365" s="23">
        <v>70</v>
      </c>
    </row>
    <row r="4366" spans="1:2" x14ac:dyDescent="0.25">
      <c r="A4366" t="s">
        <v>4531</v>
      </c>
      <c r="B4366" s="23">
        <v>70</v>
      </c>
    </row>
    <row r="4367" spans="1:2" x14ac:dyDescent="0.25">
      <c r="A4367" t="s">
        <v>4532</v>
      </c>
      <c r="B4367" s="23">
        <v>70</v>
      </c>
    </row>
    <row r="4368" spans="1:2" x14ac:dyDescent="0.25">
      <c r="A4368" t="s">
        <v>4533</v>
      </c>
      <c r="B4368" s="23">
        <v>68</v>
      </c>
    </row>
    <row r="4369" spans="1:2" x14ac:dyDescent="0.25">
      <c r="A4369" t="s">
        <v>4534</v>
      </c>
      <c r="B4369" s="23">
        <v>66</v>
      </c>
    </row>
    <row r="4370" spans="1:2" x14ac:dyDescent="0.25">
      <c r="A4370" t="s">
        <v>4535</v>
      </c>
      <c r="B4370" s="23">
        <v>64</v>
      </c>
    </row>
    <row r="4371" spans="1:2" x14ac:dyDescent="0.25">
      <c r="A4371" t="s">
        <v>4536</v>
      </c>
      <c r="B4371" s="23">
        <v>61</v>
      </c>
    </row>
    <row r="4372" spans="1:2" x14ac:dyDescent="0.25">
      <c r="A4372" t="s">
        <v>4537</v>
      </c>
      <c r="B4372" s="23">
        <v>58</v>
      </c>
    </row>
    <row r="4373" spans="1:2" x14ac:dyDescent="0.25">
      <c r="A4373" t="s">
        <v>4538</v>
      </c>
      <c r="B4373" s="23">
        <v>55</v>
      </c>
    </row>
    <row r="4374" spans="1:2" x14ac:dyDescent="0.25">
      <c r="A4374" t="s">
        <v>4539</v>
      </c>
      <c r="B4374" s="23">
        <v>52</v>
      </c>
    </row>
    <row r="4375" spans="1:2" x14ac:dyDescent="0.25">
      <c r="A4375" t="s">
        <v>4540</v>
      </c>
      <c r="B4375" s="23">
        <v>49</v>
      </c>
    </row>
    <row r="4376" spans="1:2" x14ac:dyDescent="0.25">
      <c r="A4376" t="s">
        <v>4541</v>
      </c>
      <c r="B4376" s="23">
        <v>46</v>
      </c>
    </row>
    <row r="4377" spans="1:2" x14ac:dyDescent="0.25">
      <c r="A4377" t="s">
        <v>4542</v>
      </c>
      <c r="B4377" s="23">
        <v>43</v>
      </c>
    </row>
    <row r="4378" spans="1:2" x14ac:dyDescent="0.25">
      <c r="A4378" t="s">
        <v>4543</v>
      </c>
      <c r="B4378" s="23">
        <v>40</v>
      </c>
    </row>
    <row r="4379" spans="1:2" x14ac:dyDescent="0.25">
      <c r="A4379" t="s">
        <v>4544</v>
      </c>
      <c r="B4379" s="23">
        <v>37</v>
      </c>
    </row>
    <row r="4380" spans="1:2" x14ac:dyDescent="0.25">
      <c r="A4380" t="s">
        <v>4545</v>
      </c>
      <c r="B4380" s="23">
        <v>34</v>
      </c>
    </row>
    <row r="4381" spans="1:2" x14ac:dyDescent="0.25">
      <c r="A4381" t="s">
        <v>4546</v>
      </c>
      <c r="B4381" s="23">
        <v>31</v>
      </c>
    </row>
    <row r="4382" spans="1:2" x14ac:dyDescent="0.25">
      <c r="A4382" t="s">
        <v>4547</v>
      </c>
      <c r="B4382" s="23">
        <v>28</v>
      </c>
    </row>
    <row r="4383" spans="1:2" x14ac:dyDescent="0.25">
      <c r="A4383" t="s">
        <v>4548</v>
      </c>
      <c r="B4383" s="23">
        <v>24</v>
      </c>
    </row>
    <row r="4384" spans="1:2" x14ac:dyDescent="0.25">
      <c r="A4384" t="s">
        <v>4549</v>
      </c>
      <c r="B4384" s="23">
        <v>20</v>
      </c>
    </row>
    <row r="4385" spans="1:2" x14ac:dyDescent="0.25">
      <c r="A4385" t="s">
        <v>4550</v>
      </c>
      <c r="B4385" s="23">
        <v>16</v>
      </c>
    </row>
    <row r="4386" spans="1:2" x14ac:dyDescent="0.25">
      <c r="A4386" t="s">
        <v>4551</v>
      </c>
      <c r="B4386" s="23">
        <v>12</v>
      </c>
    </row>
    <row r="4387" spans="1:2" x14ac:dyDescent="0.25">
      <c r="A4387" t="s">
        <v>4552</v>
      </c>
      <c r="B4387" s="23">
        <v>8</v>
      </c>
    </row>
    <row r="4388" spans="1:2" x14ac:dyDescent="0.25">
      <c r="A4388" t="s">
        <v>4553</v>
      </c>
      <c r="B4388" s="23">
        <v>4</v>
      </c>
    </row>
    <row r="4389" spans="1:2" x14ac:dyDescent="0.25">
      <c r="A4389" t="s">
        <v>4554</v>
      </c>
      <c r="B4389" s="23">
        <v>1</v>
      </c>
    </row>
  </sheetData>
  <phoneticPr fontId="0" type="noConversion"/>
  <pageMargins left="0.75" right="0.75" top="1" bottom="1" header="0.5" footer="0.5"/>
  <pageSetup paperSize="126"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BB29"/>
  <sheetViews>
    <sheetView showGridLines="0" showRowColHeaders="0" zoomScale="75" zoomScaleNormal="75" workbookViewId="0"/>
  </sheetViews>
  <sheetFormatPr defaultRowHeight="12.5" x14ac:dyDescent="0.25"/>
  <cols>
    <col min="1" max="1" width="8.7265625" customWidth="1"/>
    <col min="2" max="2" width="14.7265625" customWidth="1"/>
    <col min="3" max="3" width="35.7265625" customWidth="1"/>
    <col min="4" max="5" width="14.7265625" customWidth="1"/>
    <col min="6" max="6" width="9.1796875" customWidth="1"/>
    <col min="7" max="7" width="8.7265625" customWidth="1"/>
    <col min="8" max="12" width="13.81640625" customWidth="1"/>
    <col min="13" max="13" width="12.7265625" customWidth="1"/>
    <col min="14" max="14" width="9.1796875" customWidth="1"/>
    <col min="15" max="15" width="8.7265625" customWidth="1"/>
    <col min="16" max="16" width="14.7265625" customWidth="1"/>
    <col min="17" max="19" width="16.7265625" customWidth="1"/>
    <col min="20" max="22" width="9.1796875" customWidth="1"/>
    <col min="23" max="23" width="8.7265625" customWidth="1"/>
    <col min="24" max="24" width="14.7265625" customWidth="1"/>
    <col min="25" max="29" width="12.7265625" customWidth="1"/>
    <col min="30" max="30" width="9.1796875" customWidth="1"/>
    <col min="31" max="31" width="8.7265625" customWidth="1"/>
    <col min="32" max="32" width="14.7265625" customWidth="1"/>
    <col min="33" max="35" width="16.7265625" customWidth="1"/>
    <col min="36" max="38" width="9.1796875" customWidth="1"/>
    <col min="39" max="39" width="8.7265625" customWidth="1"/>
    <col min="40" max="40" width="14.7265625" customWidth="1"/>
    <col min="41" max="44" width="13.81640625" customWidth="1"/>
    <col min="45" max="46" width="9.1796875" customWidth="1"/>
    <col min="47" max="47" width="8.7265625" customWidth="1"/>
    <col min="48" max="48" width="14.7265625" customWidth="1"/>
    <col min="49" max="52" width="13.81640625" customWidth="1"/>
    <col min="53" max="61" width="9.1796875" customWidth="1"/>
  </cols>
  <sheetData>
    <row r="2" spans="1:54" ht="17.5" x14ac:dyDescent="0.35">
      <c r="A2" s="2"/>
      <c r="B2" s="2"/>
      <c r="C2" s="2"/>
      <c r="D2" s="2"/>
      <c r="E2" s="2"/>
      <c r="F2" s="2"/>
      <c r="G2" s="2"/>
      <c r="H2" s="2"/>
      <c r="I2" s="71"/>
      <c r="J2" s="2"/>
      <c r="K2" s="2"/>
      <c r="L2" s="2"/>
      <c r="M2" s="2"/>
      <c r="N2" s="2"/>
      <c r="O2" s="2"/>
      <c r="P2" s="2"/>
      <c r="Q2" s="2"/>
      <c r="R2" s="2"/>
      <c r="S2" s="2"/>
      <c r="T2" s="2"/>
      <c r="U2" s="2"/>
      <c r="V2" s="2"/>
      <c r="W2" s="2"/>
      <c r="X2" s="2"/>
      <c r="Y2" s="71"/>
      <c r="Z2" s="2"/>
      <c r="AA2" s="2"/>
      <c r="AB2" s="2"/>
      <c r="AC2" s="2"/>
      <c r="AD2" s="2"/>
      <c r="AE2" s="2"/>
      <c r="AF2" s="2"/>
      <c r="AG2" s="71"/>
      <c r="AH2" s="2"/>
      <c r="AI2" s="2"/>
      <c r="AJ2" s="2"/>
      <c r="AK2" s="2"/>
      <c r="AL2" s="2"/>
      <c r="AM2" s="2"/>
      <c r="AN2" s="2"/>
      <c r="AO2" s="71"/>
      <c r="AP2" s="2"/>
      <c r="AQ2" s="2"/>
      <c r="AR2" s="2"/>
      <c r="AS2" s="2"/>
      <c r="AT2" s="2"/>
      <c r="AU2" s="2"/>
      <c r="AV2" s="2"/>
      <c r="AW2" s="71"/>
      <c r="AX2" s="2"/>
      <c r="AY2" s="2"/>
      <c r="AZ2" s="2"/>
      <c r="BA2" s="2"/>
      <c r="BB2" s="2"/>
    </row>
    <row r="3" spans="1:54" ht="17.5" x14ac:dyDescent="0.35">
      <c r="A3" s="2"/>
      <c r="B3" s="2"/>
      <c r="C3" s="71"/>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x14ac:dyDescent="0.2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row>
    <row r="6" spans="1:54"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18" x14ac:dyDescent="0.4">
      <c r="A7" s="2"/>
      <c r="B7" s="2"/>
      <c r="C7" s="72" t="s">
        <v>51</v>
      </c>
      <c r="D7" s="2"/>
      <c r="E7" s="2"/>
      <c r="F7" s="2"/>
      <c r="G7" s="2"/>
      <c r="H7" s="2"/>
      <c r="I7" s="72" t="s">
        <v>56</v>
      </c>
      <c r="J7" s="2"/>
      <c r="K7" s="2"/>
      <c r="L7" s="2"/>
      <c r="M7" s="2"/>
      <c r="N7" s="2"/>
      <c r="O7" s="2"/>
      <c r="P7" s="2"/>
      <c r="Q7" s="72" t="s">
        <v>57</v>
      </c>
      <c r="R7" s="2"/>
      <c r="S7" s="2"/>
      <c r="T7" s="2"/>
      <c r="U7" s="2"/>
      <c r="V7" s="2"/>
      <c r="W7" s="2"/>
      <c r="X7" s="2"/>
      <c r="Y7" s="72" t="s">
        <v>58</v>
      </c>
      <c r="Z7" s="2"/>
      <c r="AA7" s="2"/>
      <c r="AB7" s="2"/>
      <c r="AC7" s="2"/>
      <c r="AD7" s="2"/>
      <c r="AE7" s="2"/>
      <c r="AF7" s="2"/>
      <c r="AG7" s="72" t="s">
        <v>59</v>
      </c>
      <c r="AH7" s="2"/>
      <c r="AI7" s="2"/>
      <c r="AJ7" s="2"/>
      <c r="AK7" s="2"/>
      <c r="AL7" s="2"/>
      <c r="AM7" s="2"/>
      <c r="AN7" s="2"/>
      <c r="AO7" s="72" t="s">
        <v>60</v>
      </c>
      <c r="AP7" s="2"/>
      <c r="AQ7" s="2"/>
      <c r="AR7" s="2"/>
      <c r="AS7" s="2"/>
      <c r="AT7" s="2"/>
      <c r="AU7" s="2"/>
      <c r="AV7" s="2"/>
      <c r="AW7" s="72" t="s">
        <v>61</v>
      </c>
      <c r="AX7" s="2"/>
      <c r="AY7" s="2"/>
      <c r="AZ7" s="2"/>
      <c r="BA7" s="2"/>
      <c r="BB7" s="2"/>
    </row>
    <row r="8" spans="1:54" ht="15.5" x14ac:dyDescent="0.35">
      <c r="A8" s="2"/>
      <c r="B8" s="2"/>
      <c r="C8" s="73"/>
      <c r="D8" s="2"/>
      <c r="E8" s="2"/>
      <c r="F8" s="2"/>
      <c r="G8" s="2"/>
      <c r="H8" s="2"/>
      <c r="I8" s="73"/>
      <c r="J8" s="2"/>
      <c r="K8" s="2"/>
      <c r="L8" s="2"/>
      <c r="M8" s="2"/>
      <c r="N8" s="2"/>
      <c r="O8" s="2"/>
      <c r="P8" s="2"/>
      <c r="Q8" s="2"/>
      <c r="R8" s="2"/>
      <c r="S8" s="2"/>
      <c r="T8" s="2"/>
      <c r="U8" s="2"/>
      <c r="V8" s="2"/>
      <c r="W8" s="2"/>
      <c r="X8" s="2"/>
      <c r="Y8" s="73"/>
      <c r="Z8" s="2"/>
      <c r="AA8" s="2"/>
      <c r="AB8" s="2"/>
      <c r="AC8" s="2"/>
      <c r="AD8" s="2"/>
      <c r="AE8" s="2"/>
      <c r="AF8" s="2"/>
      <c r="AG8" s="73"/>
      <c r="AH8" s="2"/>
      <c r="AI8" s="2"/>
      <c r="AJ8" s="2"/>
      <c r="AK8" s="2"/>
      <c r="AL8" s="2"/>
      <c r="AM8" s="2"/>
      <c r="AN8" s="2"/>
      <c r="AO8" s="73"/>
      <c r="AP8" s="2"/>
      <c r="AQ8" s="2"/>
      <c r="AR8" s="2"/>
      <c r="AS8" s="2"/>
      <c r="AT8" s="2"/>
      <c r="AU8" s="2"/>
      <c r="AV8" s="2"/>
      <c r="AW8" s="73"/>
      <c r="AX8" s="2"/>
      <c r="AY8" s="2"/>
      <c r="AZ8" s="2"/>
      <c r="BA8" s="2"/>
      <c r="BB8" s="2"/>
    </row>
    <row r="9" spans="1:54" ht="15.5" x14ac:dyDescent="0.35">
      <c r="A9" s="2"/>
      <c r="B9" s="2"/>
      <c r="C9" s="73"/>
      <c r="D9" s="2"/>
      <c r="E9" s="2"/>
      <c r="F9" s="2"/>
      <c r="G9" s="2"/>
      <c r="H9" s="2"/>
      <c r="I9" s="73"/>
      <c r="J9" s="2"/>
      <c r="K9" s="2"/>
      <c r="L9" s="2"/>
      <c r="M9" s="2"/>
      <c r="N9" s="2"/>
      <c r="O9" s="2"/>
      <c r="P9" s="2"/>
      <c r="Q9" s="2"/>
      <c r="R9" s="2"/>
      <c r="S9" s="2"/>
      <c r="T9" s="2"/>
      <c r="U9" s="2"/>
      <c r="V9" s="2"/>
      <c r="W9" s="2"/>
      <c r="X9" s="2"/>
      <c r="Y9" s="73"/>
      <c r="Z9" s="2"/>
      <c r="AA9" s="2"/>
      <c r="AB9" s="2"/>
      <c r="AC9" s="2"/>
      <c r="AD9" s="2"/>
      <c r="AE9" s="2"/>
      <c r="AF9" s="2"/>
      <c r="AG9" s="73"/>
      <c r="AH9" s="2"/>
      <c r="AI9" s="2"/>
      <c r="AJ9" s="2"/>
      <c r="AK9" s="2"/>
      <c r="AL9" s="2"/>
      <c r="AM9" s="2"/>
      <c r="AN9" s="2"/>
      <c r="AO9" s="73"/>
      <c r="AP9" s="2"/>
      <c r="AQ9" s="2"/>
      <c r="AR9" s="2"/>
      <c r="AS9" s="2"/>
      <c r="AT9" s="2"/>
      <c r="AU9" s="2"/>
      <c r="AV9" s="2"/>
      <c r="AW9" s="73"/>
      <c r="AX9" s="2"/>
      <c r="AY9" s="2"/>
      <c r="AZ9" s="2"/>
      <c r="BA9" s="2"/>
      <c r="BB9" s="2"/>
    </row>
    <row r="10" spans="1:54" ht="15.5" x14ac:dyDescent="0.35">
      <c r="A10" s="2"/>
      <c r="B10" s="74"/>
      <c r="C10" s="75"/>
      <c r="D10" s="74"/>
      <c r="E10" s="74"/>
      <c r="F10" s="2"/>
      <c r="G10" s="2"/>
      <c r="H10" s="74"/>
      <c r="I10" s="75"/>
      <c r="J10" s="74"/>
      <c r="K10" s="76"/>
      <c r="L10" s="76"/>
      <c r="M10" s="76"/>
      <c r="N10" s="2"/>
      <c r="O10" s="2"/>
      <c r="P10" s="76"/>
      <c r="Q10" s="76"/>
      <c r="R10" s="76"/>
      <c r="S10" s="76"/>
      <c r="T10" s="2"/>
      <c r="U10" s="2"/>
      <c r="V10" s="2"/>
      <c r="W10" s="2"/>
      <c r="X10" s="74"/>
      <c r="Y10" s="75"/>
      <c r="Z10" s="74"/>
      <c r="AA10" s="76"/>
      <c r="AB10" s="76"/>
      <c r="AC10" s="76"/>
      <c r="AD10" s="2"/>
      <c r="AE10" s="2"/>
      <c r="AF10" s="74"/>
      <c r="AG10" s="75"/>
      <c r="AH10" s="74"/>
      <c r="AI10" s="76"/>
      <c r="AJ10" s="2"/>
      <c r="AK10" s="2"/>
      <c r="AL10" s="2"/>
      <c r="AM10" s="2"/>
      <c r="AN10" s="74"/>
      <c r="AO10" s="75"/>
      <c r="AP10" s="74"/>
      <c r="AQ10" s="76"/>
      <c r="AR10" s="76"/>
      <c r="AS10" s="2"/>
      <c r="AT10" s="2"/>
      <c r="AU10" s="2"/>
      <c r="AV10" s="74"/>
      <c r="AW10" s="75"/>
      <c r="AX10" s="74"/>
      <c r="AY10" s="76"/>
      <c r="AZ10" s="76"/>
      <c r="BA10" s="2"/>
      <c r="BB10" s="2"/>
    </row>
    <row r="11" spans="1:54"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3" thickBot="1" x14ac:dyDescent="0.3">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row>
    <row r="13" spans="1:54" ht="35.25" customHeight="1" thickTop="1" thickBot="1" x14ac:dyDescent="0.3">
      <c r="A13" s="2"/>
      <c r="B13" s="77" t="s">
        <v>52</v>
      </c>
      <c r="C13" s="78" t="s">
        <v>34</v>
      </c>
      <c r="D13" s="78" t="s">
        <v>53</v>
      </c>
      <c r="E13" s="79" t="s">
        <v>54</v>
      </c>
      <c r="F13" s="2"/>
      <c r="G13" s="2"/>
      <c r="H13" s="77" t="s">
        <v>52</v>
      </c>
      <c r="I13" s="78" t="s">
        <v>62</v>
      </c>
      <c r="J13" s="78" t="s">
        <v>63</v>
      </c>
      <c r="K13" s="80" t="s">
        <v>64</v>
      </c>
      <c r="L13" s="79" t="s">
        <v>65</v>
      </c>
      <c r="M13" s="94"/>
      <c r="N13" s="2"/>
      <c r="O13" s="2"/>
      <c r="P13" s="77" t="s">
        <v>52</v>
      </c>
      <c r="Q13" s="80" t="s">
        <v>62</v>
      </c>
      <c r="R13" s="80"/>
      <c r="S13" s="79" t="s">
        <v>66</v>
      </c>
      <c r="T13" s="2"/>
      <c r="U13" s="2"/>
      <c r="V13" s="2"/>
      <c r="W13" s="2"/>
      <c r="X13" s="77" t="s">
        <v>52</v>
      </c>
      <c r="Y13" s="78" t="s">
        <v>67</v>
      </c>
      <c r="Z13" s="78" t="s">
        <v>68</v>
      </c>
      <c r="AA13" s="80" t="s">
        <v>69</v>
      </c>
      <c r="AB13" s="80" t="s">
        <v>70</v>
      </c>
      <c r="AC13" s="79" t="s">
        <v>30</v>
      </c>
      <c r="AD13" s="2"/>
      <c r="AE13" s="2"/>
      <c r="AF13" s="77" t="s">
        <v>52</v>
      </c>
      <c r="AG13" s="78" t="s">
        <v>71</v>
      </c>
      <c r="AH13" s="78" t="s">
        <v>72</v>
      </c>
      <c r="AI13" s="79" t="s">
        <v>73</v>
      </c>
      <c r="AJ13" s="2"/>
      <c r="AK13" s="2"/>
      <c r="AL13" s="2"/>
      <c r="AM13" s="2"/>
      <c r="AN13" s="77" t="s">
        <v>52</v>
      </c>
      <c r="AO13" s="78" t="s">
        <v>62</v>
      </c>
      <c r="AP13" s="78" t="s">
        <v>63</v>
      </c>
      <c r="AQ13" s="80" t="s">
        <v>64</v>
      </c>
      <c r="AR13" s="79" t="s">
        <v>65</v>
      </c>
      <c r="AS13" s="2"/>
      <c r="AT13" s="2"/>
      <c r="AU13" s="2"/>
      <c r="AV13" s="77" t="s">
        <v>52</v>
      </c>
      <c r="AW13" s="78" t="s">
        <v>62</v>
      </c>
      <c r="AX13" s="78" t="s">
        <v>63</v>
      </c>
      <c r="AY13" s="80" t="s">
        <v>64</v>
      </c>
      <c r="AZ13" s="79" t="s">
        <v>65</v>
      </c>
      <c r="BA13" s="2"/>
      <c r="BB13" s="2"/>
    </row>
    <row r="14" spans="1:54" ht="35.25" customHeight="1" thickTop="1" thickBot="1" x14ac:dyDescent="0.3">
      <c r="A14" s="2"/>
      <c r="B14" s="81">
        <v>1</v>
      </c>
      <c r="C14" s="82"/>
      <c r="D14" s="82"/>
      <c r="E14" s="83"/>
      <c r="F14" s="2"/>
      <c r="G14" s="2"/>
      <c r="H14" s="81">
        <v>1</v>
      </c>
      <c r="I14" s="82"/>
      <c r="J14" s="82"/>
      <c r="K14" s="84"/>
      <c r="L14" s="83"/>
      <c r="M14" s="94"/>
      <c r="N14" s="2"/>
      <c r="O14" s="2"/>
      <c r="P14" s="81">
        <v>1</v>
      </c>
      <c r="Q14" s="84"/>
      <c r="R14" s="84"/>
      <c r="S14" s="83"/>
      <c r="T14" s="2"/>
      <c r="U14" s="2"/>
      <c r="V14" s="2"/>
      <c r="W14" s="2"/>
      <c r="X14" s="81">
        <v>1</v>
      </c>
      <c r="Y14" s="82"/>
      <c r="Z14" s="82"/>
      <c r="AA14" s="84"/>
      <c r="AB14" s="84"/>
      <c r="AC14" s="83"/>
      <c r="AD14" s="2"/>
      <c r="AE14" s="2"/>
      <c r="AF14" s="81">
        <v>1</v>
      </c>
      <c r="AG14" s="82"/>
      <c r="AH14" s="82"/>
      <c r="AI14" s="83"/>
      <c r="AJ14" s="2"/>
      <c r="AK14" s="2"/>
      <c r="AL14" s="2"/>
      <c r="AM14" s="2"/>
      <c r="AN14" s="81">
        <v>1</v>
      </c>
      <c r="AO14" s="82"/>
      <c r="AP14" s="82"/>
      <c r="AQ14" s="84"/>
      <c r="AR14" s="83"/>
      <c r="AS14" s="2"/>
      <c r="AT14" s="2"/>
      <c r="AU14" s="2"/>
      <c r="AV14" s="81">
        <v>1</v>
      </c>
      <c r="AW14" s="82"/>
      <c r="AX14" s="82"/>
      <c r="AY14" s="84"/>
      <c r="AZ14" s="83"/>
      <c r="BA14" s="2"/>
      <c r="BB14" s="2"/>
    </row>
    <row r="15" spans="1:54" ht="35.25" customHeight="1" thickBot="1" x14ac:dyDescent="0.3">
      <c r="A15" s="2"/>
      <c r="B15" s="85">
        <v>2</v>
      </c>
      <c r="C15" s="86"/>
      <c r="D15" s="86"/>
      <c r="E15" s="87"/>
      <c r="F15" s="2"/>
      <c r="G15" s="2"/>
      <c r="H15" s="85">
        <v>2</v>
      </c>
      <c r="I15" s="86"/>
      <c r="J15" s="86"/>
      <c r="K15" s="88"/>
      <c r="L15" s="87"/>
      <c r="M15" s="94"/>
      <c r="N15" s="2"/>
      <c r="O15" s="2"/>
      <c r="P15" s="85">
        <v>2</v>
      </c>
      <c r="Q15" s="88"/>
      <c r="R15" s="88"/>
      <c r="S15" s="87"/>
      <c r="T15" s="2"/>
      <c r="U15" s="2"/>
      <c r="V15" s="2"/>
      <c r="W15" s="2"/>
      <c r="X15" s="85">
        <v>2</v>
      </c>
      <c r="Y15" s="86"/>
      <c r="Z15" s="86"/>
      <c r="AA15" s="88"/>
      <c r="AB15" s="88"/>
      <c r="AC15" s="87"/>
      <c r="AD15" s="2"/>
      <c r="AE15" s="2"/>
      <c r="AF15" s="85">
        <v>2</v>
      </c>
      <c r="AG15" s="86"/>
      <c r="AH15" s="86"/>
      <c r="AI15" s="87"/>
      <c r="AJ15" s="2"/>
      <c r="AK15" s="2"/>
      <c r="AL15" s="2"/>
      <c r="AM15" s="2"/>
      <c r="AN15" s="85">
        <v>2</v>
      </c>
      <c r="AO15" s="86"/>
      <c r="AP15" s="86"/>
      <c r="AQ15" s="88"/>
      <c r="AR15" s="87"/>
      <c r="AS15" s="2"/>
      <c r="AT15" s="2"/>
      <c r="AU15" s="2"/>
      <c r="AV15" s="85">
        <v>2</v>
      </c>
      <c r="AW15" s="86"/>
      <c r="AX15" s="86"/>
      <c r="AY15" s="88"/>
      <c r="AZ15" s="87"/>
      <c r="BA15" s="2"/>
      <c r="BB15" s="2"/>
    </row>
    <row r="16" spans="1:54" ht="35.25" customHeight="1" thickBot="1" x14ac:dyDescent="0.3">
      <c r="A16" s="2"/>
      <c r="B16" s="85">
        <v>3</v>
      </c>
      <c r="C16" s="86"/>
      <c r="D16" s="86"/>
      <c r="E16" s="87"/>
      <c r="F16" s="2"/>
      <c r="G16" s="2"/>
      <c r="H16" s="85">
        <v>3</v>
      </c>
      <c r="I16" s="86"/>
      <c r="J16" s="86"/>
      <c r="K16" s="88"/>
      <c r="L16" s="87"/>
      <c r="M16" s="94"/>
      <c r="N16" s="2"/>
      <c r="O16" s="2"/>
      <c r="P16" s="85">
        <v>3</v>
      </c>
      <c r="Q16" s="88"/>
      <c r="R16" s="88"/>
      <c r="S16" s="87"/>
      <c r="T16" s="2"/>
      <c r="U16" s="2"/>
      <c r="V16" s="2"/>
      <c r="W16" s="2"/>
      <c r="X16" s="85">
        <v>3</v>
      </c>
      <c r="Y16" s="86"/>
      <c r="Z16" s="86"/>
      <c r="AA16" s="88"/>
      <c r="AB16" s="88"/>
      <c r="AC16" s="87"/>
      <c r="AD16" s="2"/>
      <c r="AE16" s="2"/>
      <c r="AF16" s="85">
        <v>3</v>
      </c>
      <c r="AG16" s="86"/>
      <c r="AH16" s="86"/>
      <c r="AI16" s="87"/>
      <c r="AJ16" s="2"/>
      <c r="AK16" s="2"/>
      <c r="AL16" s="2"/>
      <c r="AM16" s="2"/>
      <c r="AN16" s="85">
        <v>3</v>
      </c>
      <c r="AO16" s="86"/>
      <c r="AP16" s="86"/>
      <c r="AQ16" s="88"/>
      <c r="AR16" s="87"/>
      <c r="AS16" s="2"/>
      <c r="AT16" s="2"/>
      <c r="AU16" s="2"/>
      <c r="AV16" s="85">
        <v>3</v>
      </c>
      <c r="AW16" s="86"/>
      <c r="AX16" s="86"/>
      <c r="AY16" s="88"/>
      <c r="AZ16" s="87"/>
      <c r="BA16" s="2"/>
      <c r="BB16" s="2"/>
    </row>
    <row r="17" spans="1:54" ht="35.25" customHeight="1" thickBot="1" x14ac:dyDescent="0.3">
      <c r="A17" s="2"/>
      <c r="B17" s="85">
        <v>4</v>
      </c>
      <c r="C17" s="86"/>
      <c r="D17" s="86"/>
      <c r="E17" s="87"/>
      <c r="F17" s="2"/>
      <c r="G17" s="2"/>
      <c r="H17" s="85">
        <v>4</v>
      </c>
      <c r="I17" s="86"/>
      <c r="J17" s="86"/>
      <c r="K17" s="88"/>
      <c r="L17" s="87"/>
      <c r="M17" s="94"/>
      <c r="N17" s="2"/>
      <c r="O17" s="2"/>
      <c r="P17" s="85">
        <v>4</v>
      </c>
      <c r="Q17" s="88"/>
      <c r="R17" s="88"/>
      <c r="S17" s="87"/>
      <c r="T17" s="2"/>
      <c r="U17" s="2"/>
      <c r="V17" s="2"/>
      <c r="W17" s="2"/>
      <c r="X17" s="85">
        <v>4</v>
      </c>
      <c r="Y17" s="86"/>
      <c r="Z17" s="86"/>
      <c r="AA17" s="88"/>
      <c r="AB17" s="88"/>
      <c r="AC17" s="87"/>
      <c r="AD17" s="2"/>
      <c r="AE17" s="2"/>
      <c r="AF17" s="85">
        <v>4</v>
      </c>
      <c r="AG17" s="86"/>
      <c r="AH17" s="86"/>
      <c r="AI17" s="87"/>
      <c r="AJ17" s="2"/>
      <c r="AK17" s="2"/>
      <c r="AL17" s="2"/>
      <c r="AM17" s="2"/>
      <c r="AN17" s="85">
        <v>4</v>
      </c>
      <c r="AO17" s="86"/>
      <c r="AP17" s="86"/>
      <c r="AQ17" s="88"/>
      <c r="AR17" s="87"/>
      <c r="AS17" s="2"/>
      <c r="AT17" s="2"/>
      <c r="AU17" s="2"/>
      <c r="AV17" s="85">
        <v>4</v>
      </c>
      <c r="AW17" s="86"/>
      <c r="AX17" s="86"/>
      <c r="AY17" s="88"/>
      <c r="AZ17" s="87"/>
      <c r="BA17" s="2"/>
      <c r="BB17" s="2"/>
    </row>
    <row r="18" spans="1:54" ht="35.25" customHeight="1" thickBot="1" x14ac:dyDescent="0.3">
      <c r="A18" s="2"/>
      <c r="B18" s="85">
        <v>5</v>
      </c>
      <c r="C18" s="86"/>
      <c r="D18" s="86"/>
      <c r="E18" s="87"/>
      <c r="F18" s="2"/>
      <c r="G18" s="2"/>
      <c r="H18" s="85">
        <v>5</v>
      </c>
      <c r="I18" s="86"/>
      <c r="J18" s="86"/>
      <c r="K18" s="88"/>
      <c r="L18" s="87"/>
      <c r="M18" s="94"/>
      <c r="N18" s="2"/>
      <c r="O18" s="2"/>
      <c r="P18" s="85">
        <v>5</v>
      </c>
      <c r="Q18" s="88"/>
      <c r="R18" s="88"/>
      <c r="S18" s="87"/>
      <c r="T18" s="2"/>
      <c r="U18" s="2"/>
      <c r="V18" s="2"/>
      <c r="W18" s="2"/>
      <c r="X18" s="85">
        <v>5</v>
      </c>
      <c r="Y18" s="86"/>
      <c r="Z18" s="86"/>
      <c r="AA18" s="88"/>
      <c r="AB18" s="88"/>
      <c r="AC18" s="87"/>
      <c r="AD18" s="2"/>
      <c r="AE18" s="2"/>
      <c r="AF18" s="85">
        <v>5</v>
      </c>
      <c r="AG18" s="86"/>
      <c r="AH18" s="86"/>
      <c r="AI18" s="87"/>
      <c r="AJ18" s="2"/>
      <c r="AK18" s="2"/>
      <c r="AL18" s="2"/>
      <c r="AM18" s="2"/>
      <c r="AN18" s="85">
        <v>5</v>
      </c>
      <c r="AO18" s="86"/>
      <c r="AP18" s="86"/>
      <c r="AQ18" s="88"/>
      <c r="AR18" s="87"/>
      <c r="AS18" s="2"/>
      <c r="AT18" s="2"/>
      <c r="AU18" s="2"/>
      <c r="AV18" s="85">
        <v>5</v>
      </c>
      <c r="AW18" s="86"/>
      <c r="AX18" s="86"/>
      <c r="AY18" s="88"/>
      <c r="AZ18" s="87"/>
      <c r="BA18" s="2"/>
      <c r="BB18" s="2"/>
    </row>
    <row r="19" spans="1:54" ht="35.25" customHeight="1" thickBot="1" x14ac:dyDescent="0.3">
      <c r="A19" s="2"/>
      <c r="B19" s="85">
        <v>6</v>
      </c>
      <c r="C19" s="86"/>
      <c r="D19" s="86"/>
      <c r="E19" s="87"/>
      <c r="F19" s="2"/>
      <c r="G19" s="2"/>
      <c r="H19" s="85">
        <v>6</v>
      </c>
      <c r="I19" s="86"/>
      <c r="J19" s="86"/>
      <c r="K19" s="88"/>
      <c r="L19" s="87"/>
      <c r="M19" s="94"/>
      <c r="N19" s="2"/>
      <c r="O19" s="2"/>
      <c r="P19" s="85">
        <v>6</v>
      </c>
      <c r="Q19" s="88"/>
      <c r="R19" s="88"/>
      <c r="S19" s="87"/>
      <c r="T19" s="2"/>
      <c r="U19" s="2"/>
      <c r="V19" s="2"/>
      <c r="W19" s="2"/>
      <c r="X19" s="85">
        <v>6</v>
      </c>
      <c r="Y19" s="86"/>
      <c r="Z19" s="86"/>
      <c r="AA19" s="88"/>
      <c r="AB19" s="88"/>
      <c r="AC19" s="87"/>
      <c r="AD19" s="2"/>
      <c r="AE19" s="2"/>
      <c r="AF19" s="85">
        <v>6</v>
      </c>
      <c r="AG19" s="86"/>
      <c r="AH19" s="86"/>
      <c r="AI19" s="87"/>
      <c r="AJ19" s="2"/>
      <c r="AK19" s="2"/>
      <c r="AL19" s="2"/>
      <c r="AM19" s="2"/>
      <c r="AN19" s="85">
        <v>6</v>
      </c>
      <c r="AO19" s="86"/>
      <c r="AP19" s="86"/>
      <c r="AQ19" s="88"/>
      <c r="AR19" s="87"/>
      <c r="AS19" s="2"/>
      <c r="AT19" s="2"/>
      <c r="AU19" s="2"/>
      <c r="AV19" s="85">
        <v>6</v>
      </c>
      <c r="AW19" s="86"/>
      <c r="AX19" s="86"/>
      <c r="AY19" s="88"/>
      <c r="AZ19" s="87"/>
      <c r="BA19" s="2"/>
      <c r="BB19" s="2"/>
    </row>
    <row r="20" spans="1:54" ht="35.25" customHeight="1" thickBot="1" x14ac:dyDescent="0.3">
      <c r="A20" s="2"/>
      <c r="B20" s="85">
        <v>7</v>
      </c>
      <c r="C20" s="86"/>
      <c r="D20" s="86"/>
      <c r="E20" s="87"/>
      <c r="F20" s="2"/>
      <c r="G20" s="2"/>
      <c r="H20" s="85">
        <v>7</v>
      </c>
      <c r="I20" s="86"/>
      <c r="J20" s="86"/>
      <c r="K20" s="88"/>
      <c r="L20" s="87"/>
      <c r="M20" s="94"/>
      <c r="N20" s="2"/>
      <c r="O20" s="2"/>
      <c r="P20" s="85">
        <v>7</v>
      </c>
      <c r="Q20" s="88"/>
      <c r="R20" s="88"/>
      <c r="S20" s="87"/>
      <c r="T20" s="2"/>
      <c r="U20" s="2"/>
      <c r="V20" s="2"/>
      <c r="W20" s="2"/>
      <c r="X20" s="85">
        <v>7</v>
      </c>
      <c r="Y20" s="86"/>
      <c r="Z20" s="86"/>
      <c r="AA20" s="88"/>
      <c r="AB20" s="88"/>
      <c r="AC20" s="87"/>
      <c r="AD20" s="2"/>
      <c r="AE20" s="2"/>
      <c r="AF20" s="85">
        <v>7</v>
      </c>
      <c r="AG20" s="86"/>
      <c r="AH20" s="86"/>
      <c r="AI20" s="87"/>
      <c r="AJ20" s="2"/>
      <c r="AK20" s="2"/>
      <c r="AL20" s="2"/>
      <c r="AM20" s="2"/>
      <c r="AN20" s="85">
        <v>7</v>
      </c>
      <c r="AO20" s="86"/>
      <c r="AP20" s="86"/>
      <c r="AQ20" s="88"/>
      <c r="AR20" s="87"/>
      <c r="AS20" s="2"/>
      <c r="AT20" s="2"/>
      <c r="AU20" s="2"/>
      <c r="AV20" s="85">
        <v>7</v>
      </c>
      <c r="AW20" s="86"/>
      <c r="AX20" s="86"/>
      <c r="AY20" s="88"/>
      <c r="AZ20" s="87"/>
      <c r="BA20" s="2"/>
      <c r="BB20" s="2"/>
    </row>
    <row r="21" spans="1:54" ht="35.25" customHeight="1" thickBot="1" x14ac:dyDescent="0.3">
      <c r="A21" s="2"/>
      <c r="B21" s="85">
        <v>8</v>
      </c>
      <c r="C21" s="86"/>
      <c r="D21" s="86"/>
      <c r="E21" s="87"/>
      <c r="F21" s="2"/>
      <c r="G21" s="2"/>
      <c r="H21" s="85">
        <v>8</v>
      </c>
      <c r="I21" s="86"/>
      <c r="J21" s="86"/>
      <c r="K21" s="88"/>
      <c r="L21" s="87"/>
      <c r="M21" s="94"/>
      <c r="N21" s="2"/>
      <c r="O21" s="2"/>
      <c r="P21" s="85">
        <v>8</v>
      </c>
      <c r="Q21" s="88"/>
      <c r="R21" s="88"/>
      <c r="S21" s="87"/>
      <c r="T21" s="2"/>
      <c r="U21" s="2"/>
      <c r="V21" s="2"/>
      <c r="W21" s="2"/>
      <c r="X21" s="85">
        <v>8</v>
      </c>
      <c r="Y21" s="86"/>
      <c r="Z21" s="86"/>
      <c r="AA21" s="88"/>
      <c r="AB21" s="88"/>
      <c r="AC21" s="87"/>
      <c r="AD21" s="2"/>
      <c r="AE21" s="2"/>
      <c r="AF21" s="85">
        <v>8</v>
      </c>
      <c r="AG21" s="86"/>
      <c r="AH21" s="86"/>
      <c r="AI21" s="87"/>
      <c r="AJ21" s="2"/>
      <c r="AK21" s="2"/>
      <c r="AL21" s="2"/>
      <c r="AM21" s="2"/>
      <c r="AN21" s="85">
        <v>8</v>
      </c>
      <c r="AO21" s="86"/>
      <c r="AP21" s="86"/>
      <c r="AQ21" s="88"/>
      <c r="AR21" s="87"/>
      <c r="AS21" s="2"/>
      <c r="AT21" s="2"/>
      <c r="AU21" s="2"/>
      <c r="AV21" s="85">
        <v>8</v>
      </c>
      <c r="AW21" s="86"/>
      <c r="AX21" s="86"/>
      <c r="AY21" s="88"/>
      <c r="AZ21" s="87"/>
      <c r="BA21" s="2"/>
      <c r="BB21" s="2"/>
    </row>
    <row r="22" spans="1:54" ht="35.25" customHeight="1" thickBot="1" x14ac:dyDescent="0.3">
      <c r="A22" s="2"/>
      <c r="B22" s="85">
        <v>9</v>
      </c>
      <c r="C22" s="86"/>
      <c r="D22" s="86"/>
      <c r="E22" s="87"/>
      <c r="F22" s="2"/>
      <c r="G22" s="2"/>
      <c r="H22" s="85">
        <v>9</v>
      </c>
      <c r="I22" s="86"/>
      <c r="J22" s="86"/>
      <c r="K22" s="88"/>
      <c r="L22" s="87"/>
      <c r="M22" s="94"/>
      <c r="N22" s="2"/>
      <c r="O22" s="2"/>
      <c r="P22" s="85">
        <v>9</v>
      </c>
      <c r="Q22" s="88"/>
      <c r="R22" s="88"/>
      <c r="S22" s="87"/>
      <c r="T22" s="2"/>
      <c r="U22" s="2"/>
      <c r="V22" s="2"/>
      <c r="W22" s="2"/>
      <c r="X22" s="85">
        <v>9</v>
      </c>
      <c r="Y22" s="86"/>
      <c r="Z22" s="86"/>
      <c r="AA22" s="88"/>
      <c r="AB22" s="88"/>
      <c r="AC22" s="87"/>
      <c r="AD22" s="2"/>
      <c r="AE22" s="2"/>
      <c r="AF22" s="85">
        <v>9</v>
      </c>
      <c r="AG22" s="86"/>
      <c r="AH22" s="86"/>
      <c r="AI22" s="87"/>
      <c r="AJ22" s="2"/>
      <c r="AK22" s="2"/>
      <c r="AL22" s="2"/>
      <c r="AM22" s="2"/>
      <c r="AN22" s="85">
        <v>9</v>
      </c>
      <c r="AO22" s="86"/>
      <c r="AP22" s="86"/>
      <c r="AQ22" s="88"/>
      <c r="AR22" s="87"/>
      <c r="AS22" s="2"/>
      <c r="AT22" s="2"/>
      <c r="AU22" s="2"/>
      <c r="AV22" s="85">
        <v>9</v>
      </c>
      <c r="AW22" s="86"/>
      <c r="AX22" s="86"/>
      <c r="AY22" s="88"/>
      <c r="AZ22" s="87"/>
      <c r="BA22" s="2"/>
      <c r="BB22" s="2"/>
    </row>
    <row r="23" spans="1:54" ht="35.25" customHeight="1" thickBot="1" x14ac:dyDescent="0.3">
      <c r="A23" s="2"/>
      <c r="B23" s="85">
        <v>10</v>
      </c>
      <c r="C23" s="86"/>
      <c r="D23" s="86"/>
      <c r="E23" s="87"/>
      <c r="F23" s="2"/>
      <c r="G23" s="2"/>
      <c r="H23" s="85">
        <v>10</v>
      </c>
      <c r="I23" s="86"/>
      <c r="J23" s="86"/>
      <c r="K23" s="88"/>
      <c r="L23" s="87"/>
      <c r="M23" s="94"/>
      <c r="N23" s="2"/>
      <c r="O23" s="2"/>
      <c r="P23" s="85">
        <v>10</v>
      </c>
      <c r="Q23" s="88"/>
      <c r="R23" s="88"/>
      <c r="S23" s="87"/>
      <c r="T23" s="2"/>
      <c r="U23" s="2"/>
      <c r="V23" s="2"/>
      <c r="W23" s="2"/>
      <c r="X23" s="85">
        <v>10</v>
      </c>
      <c r="Y23" s="86"/>
      <c r="Z23" s="86"/>
      <c r="AA23" s="88"/>
      <c r="AB23" s="88"/>
      <c r="AC23" s="87"/>
      <c r="AD23" s="2"/>
      <c r="AE23" s="2"/>
      <c r="AF23" s="85">
        <v>10</v>
      </c>
      <c r="AG23" s="86"/>
      <c r="AH23" s="86"/>
      <c r="AI23" s="87"/>
      <c r="AJ23" s="2"/>
      <c r="AK23" s="2"/>
      <c r="AL23" s="2"/>
      <c r="AM23" s="2"/>
      <c r="AN23" s="85">
        <v>10</v>
      </c>
      <c r="AO23" s="86"/>
      <c r="AP23" s="86"/>
      <c r="AQ23" s="88"/>
      <c r="AR23" s="87"/>
      <c r="AS23" s="2"/>
      <c r="AT23" s="2"/>
      <c r="AU23" s="2"/>
      <c r="AV23" s="85">
        <v>10</v>
      </c>
      <c r="AW23" s="86"/>
      <c r="AX23" s="86"/>
      <c r="AY23" s="88"/>
      <c r="AZ23" s="87"/>
      <c r="BA23" s="2"/>
      <c r="BB23" s="2"/>
    </row>
    <row r="24" spans="1:54" ht="35.25" customHeight="1" thickBot="1" x14ac:dyDescent="0.3">
      <c r="A24" s="2"/>
      <c r="B24" s="85">
        <v>11</v>
      </c>
      <c r="C24" s="86"/>
      <c r="D24" s="86"/>
      <c r="E24" s="87"/>
      <c r="F24" s="2"/>
      <c r="G24" s="2"/>
      <c r="H24" s="85">
        <v>11</v>
      </c>
      <c r="I24" s="86"/>
      <c r="J24" s="86"/>
      <c r="K24" s="88"/>
      <c r="L24" s="87"/>
      <c r="M24" s="94"/>
      <c r="N24" s="2"/>
      <c r="O24" s="2"/>
      <c r="P24" s="85">
        <v>11</v>
      </c>
      <c r="Q24" s="88"/>
      <c r="R24" s="88"/>
      <c r="S24" s="87"/>
      <c r="T24" s="2"/>
      <c r="U24" s="2"/>
      <c r="V24" s="2"/>
      <c r="W24" s="2"/>
      <c r="X24" s="85">
        <v>11</v>
      </c>
      <c r="Y24" s="86"/>
      <c r="Z24" s="86"/>
      <c r="AA24" s="88"/>
      <c r="AB24" s="88"/>
      <c r="AC24" s="87"/>
      <c r="AD24" s="2"/>
      <c r="AE24" s="2"/>
      <c r="AF24" s="85">
        <v>11</v>
      </c>
      <c r="AG24" s="86"/>
      <c r="AH24" s="86"/>
      <c r="AI24" s="87"/>
      <c r="AJ24" s="2"/>
      <c r="AK24" s="2"/>
      <c r="AL24" s="2"/>
      <c r="AM24" s="2"/>
      <c r="AN24" s="85">
        <v>11</v>
      </c>
      <c r="AO24" s="86"/>
      <c r="AP24" s="86"/>
      <c r="AQ24" s="88"/>
      <c r="AR24" s="87"/>
      <c r="AS24" s="2"/>
      <c r="AT24" s="2"/>
      <c r="AU24" s="2"/>
      <c r="AV24" s="85">
        <v>11</v>
      </c>
      <c r="AW24" s="86"/>
      <c r="AX24" s="86"/>
      <c r="AY24" s="88"/>
      <c r="AZ24" s="87"/>
      <c r="BA24" s="2"/>
      <c r="BB24" s="2"/>
    </row>
    <row r="25" spans="1:54" ht="35.25" customHeight="1" thickBot="1" x14ac:dyDescent="0.3">
      <c r="A25" s="2"/>
      <c r="B25" s="85">
        <v>12</v>
      </c>
      <c r="C25" s="86"/>
      <c r="D25" s="86"/>
      <c r="E25" s="87"/>
      <c r="F25" s="2"/>
      <c r="G25" s="2"/>
      <c r="H25" s="85">
        <v>12</v>
      </c>
      <c r="I25" s="86"/>
      <c r="J25" s="86"/>
      <c r="K25" s="88"/>
      <c r="L25" s="87"/>
      <c r="M25" s="94"/>
      <c r="N25" s="2"/>
      <c r="O25" s="2"/>
      <c r="P25" s="85">
        <v>12</v>
      </c>
      <c r="Q25" s="88"/>
      <c r="R25" s="88"/>
      <c r="S25" s="87"/>
      <c r="T25" s="2"/>
      <c r="U25" s="2"/>
      <c r="V25" s="2"/>
      <c r="W25" s="2"/>
      <c r="X25" s="85">
        <v>12</v>
      </c>
      <c r="Y25" s="86"/>
      <c r="Z25" s="86"/>
      <c r="AA25" s="88"/>
      <c r="AB25" s="88"/>
      <c r="AC25" s="87"/>
      <c r="AD25" s="2"/>
      <c r="AE25" s="2"/>
      <c r="AF25" s="85">
        <v>12</v>
      </c>
      <c r="AG25" s="86"/>
      <c r="AH25" s="86"/>
      <c r="AI25" s="87"/>
      <c r="AJ25" s="2"/>
      <c r="AK25" s="2"/>
      <c r="AL25" s="2"/>
      <c r="AM25" s="2"/>
      <c r="AN25" s="85">
        <v>12</v>
      </c>
      <c r="AO25" s="86"/>
      <c r="AP25" s="86"/>
      <c r="AQ25" s="88"/>
      <c r="AR25" s="87"/>
      <c r="AS25" s="2"/>
      <c r="AT25" s="2"/>
      <c r="AU25" s="2"/>
      <c r="AV25" s="85">
        <v>12</v>
      </c>
      <c r="AW25" s="86"/>
      <c r="AX25" s="86"/>
      <c r="AY25" s="88"/>
      <c r="AZ25" s="87"/>
      <c r="BA25" s="2"/>
      <c r="BB25" s="2"/>
    </row>
    <row r="26" spans="1:54" ht="35.25" customHeight="1" thickBot="1" x14ac:dyDescent="0.3">
      <c r="A26" s="2"/>
      <c r="B26" s="89"/>
      <c r="C26" s="90"/>
      <c r="D26" s="90"/>
      <c r="E26" s="91"/>
      <c r="F26" s="2"/>
      <c r="G26" s="2"/>
      <c r="H26" s="89"/>
      <c r="I26" s="90"/>
      <c r="J26" s="90"/>
      <c r="K26" s="92"/>
      <c r="L26" s="91"/>
      <c r="M26" s="94"/>
      <c r="N26" s="2"/>
      <c r="O26" s="2"/>
      <c r="P26" s="89"/>
      <c r="Q26" s="92"/>
      <c r="R26" s="92"/>
      <c r="S26" s="91"/>
      <c r="T26" s="2"/>
      <c r="U26" s="2"/>
      <c r="V26" s="2"/>
      <c r="W26" s="2"/>
      <c r="X26" s="89"/>
      <c r="Y26" s="90"/>
      <c r="Z26" s="90"/>
      <c r="AA26" s="92"/>
      <c r="AB26" s="92"/>
      <c r="AC26" s="91"/>
      <c r="AD26" s="2"/>
      <c r="AE26" s="2"/>
      <c r="AF26" s="89"/>
      <c r="AG26" s="90"/>
      <c r="AH26" s="90"/>
      <c r="AI26" s="91"/>
      <c r="AJ26" s="2"/>
      <c r="AK26" s="2"/>
      <c r="AL26" s="2"/>
      <c r="AM26" s="2"/>
      <c r="AN26" s="89"/>
      <c r="AO26" s="90"/>
      <c r="AP26" s="90"/>
      <c r="AQ26" s="92"/>
      <c r="AR26" s="91"/>
      <c r="AS26" s="2"/>
      <c r="AT26" s="2"/>
      <c r="AU26" s="2"/>
      <c r="AV26" s="89"/>
      <c r="AW26" s="90"/>
      <c r="AX26" s="90"/>
      <c r="AY26" s="92"/>
      <c r="AZ26" s="91"/>
      <c r="BA26" s="2"/>
      <c r="BB26" s="2"/>
    </row>
    <row r="27" spans="1:54" ht="13" thickTop="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row>
    <row r="28" spans="1:54"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row>
    <row r="29" spans="1:54" ht="15.5" x14ac:dyDescent="0.35">
      <c r="A29" s="2"/>
      <c r="B29" s="93" t="s">
        <v>55</v>
      </c>
      <c r="C29" s="2"/>
      <c r="D29" s="2"/>
      <c r="E29" s="2"/>
      <c r="F29" s="2"/>
      <c r="G29" s="2"/>
      <c r="H29" s="93"/>
      <c r="I29" s="2"/>
      <c r="J29" s="2"/>
      <c r="K29" s="2"/>
      <c r="L29" s="2"/>
      <c r="M29" s="2"/>
      <c r="N29" s="2"/>
      <c r="O29" s="2"/>
      <c r="P29" s="93"/>
      <c r="Q29" s="2"/>
      <c r="R29" s="2"/>
      <c r="S29" s="2"/>
      <c r="T29" s="2"/>
      <c r="U29" s="2"/>
      <c r="V29" s="2"/>
      <c r="W29" s="2"/>
      <c r="X29" s="93"/>
      <c r="Y29" s="2"/>
      <c r="Z29" s="2"/>
      <c r="AA29" s="2"/>
      <c r="AB29" s="2"/>
      <c r="AC29" s="2"/>
      <c r="AD29" s="2"/>
      <c r="AE29" s="2"/>
      <c r="AF29" s="93"/>
      <c r="AG29" s="2"/>
      <c r="AH29" s="2"/>
      <c r="AI29" s="2"/>
      <c r="AJ29" s="2"/>
      <c r="AK29" s="2"/>
      <c r="AL29" s="2"/>
      <c r="AM29" s="2"/>
      <c r="AN29" s="93"/>
      <c r="AO29" s="2"/>
      <c r="AP29" s="2"/>
      <c r="AQ29" s="2"/>
      <c r="AR29" s="2"/>
      <c r="AS29" s="2"/>
      <c r="AT29" s="2"/>
      <c r="AU29" s="2"/>
      <c r="AV29" s="93"/>
      <c r="AW29" s="2"/>
      <c r="AX29" s="2"/>
      <c r="AY29" s="2"/>
      <c r="AZ29" s="2"/>
      <c r="BA29" s="2"/>
      <c r="BB29" s="2"/>
    </row>
  </sheetData>
  <pageMargins left="0.31" right="0.36" top="0.55000000000000004" bottom="0.39" header="0.3" footer="0.3"/>
  <pageSetup orientation="portrait" horizontalDpi="4294967294"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E76"/>
  <sheetViews>
    <sheetView workbookViewId="0">
      <selection activeCell="D70" sqref="D70"/>
    </sheetView>
  </sheetViews>
  <sheetFormatPr defaultRowHeight="15.5" x14ac:dyDescent="0.35"/>
  <cols>
    <col min="1" max="30" width="18.1796875" style="317" customWidth="1"/>
    <col min="31" max="31" width="9.1796875" style="317" customWidth="1"/>
  </cols>
  <sheetData>
    <row r="1" spans="1:31" s="23" customFormat="1" ht="10.5" customHeight="1" x14ac:dyDescent="0.25">
      <c r="A1" s="318" t="s">
        <v>32</v>
      </c>
      <c r="B1" s="318" t="s">
        <v>161</v>
      </c>
      <c r="C1" s="318"/>
      <c r="D1" s="318"/>
      <c r="E1" s="318"/>
      <c r="F1" s="318" t="s">
        <v>162</v>
      </c>
      <c r="G1" s="318"/>
      <c r="H1" s="318"/>
      <c r="I1" s="318"/>
      <c r="J1" s="318"/>
      <c r="K1" s="318"/>
      <c r="L1" s="318" t="s">
        <v>33</v>
      </c>
      <c r="M1" s="318"/>
      <c r="N1" s="318"/>
      <c r="O1" s="318"/>
      <c r="P1" s="318"/>
      <c r="Q1" s="318" t="s">
        <v>163</v>
      </c>
      <c r="R1" s="318"/>
      <c r="S1" s="318"/>
      <c r="T1" s="318"/>
      <c r="U1" s="318"/>
      <c r="V1" s="318" t="s">
        <v>164</v>
      </c>
      <c r="W1" s="318"/>
      <c r="X1" s="318"/>
      <c r="Y1" s="318"/>
      <c r="Z1" s="318"/>
      <c r="AA1" s="318" t="s">
        <v>165</v>
      </c>
      <c r="AB1" s="318"/>
      <c r="AC1" s="318"/>
      <c r="AD1" s="318"/>
      <c r="AE1" s="318"/>
    </row>
    <row r="2" spans="1:31" s="316" customFormat="1" ht="9.75" customHeight="1" x14ac:dyDescent="0.2">
      <c r="A2" s="319"/>
      <c r="B2" s="319">
        <v>1</v>
      </c>
      <c r="C2" s="319">
        <v>2</v>
      </c>
      <c r="D2" s="319">
        <v>3</v>
      </c>
      <c r="E2" s="319">
        <v>4</v>
      </c>
      <c r="F2" s="319"/>
      <c r="G2" s="319">
        <v>1</v>
      </c>
      <c r="H2" s="319">
        <v>2</v>
      </c>
      <c r="I2" s="319">
        <v>3</v>
      </c>
      <c r="J2" s="319">
        <v>4</v>
      </c>
      <c r="K2" s="319"/>
      <c r="L2" s="319">
        <v>1</v>
      </c>
      <c r="M2" s="319">
        <v>2</v>
      </c>
      <c r="N2" s="319">
        <v>3</v>
      </c>
      <c r="O2" s="319">
        <v>4</v>
      </c>
      <c r="P2" s="319"/>
      <c r="Q2" s="319">
        <v>1</v>
      </c>
      <c r="R2" s="319">
        <v>2</v>
      </c>
      <c r="S2" s="319">
        <v>3</v>
      </c>
      <c r="T2" s="319">
        <v>4</v>
      </c>
      <c r="U2" s="319"/>
      <c r="V2" s="319">
        <v>1</v>
      </c>
      <c r="W2" s="319">
        <v>2</v>
      </c>
      <c r="X2" s="319">
        <v>3</v>
      </c>
      <c r="Y2" s="319">
        <v>4</v>
      </c>
      <c r="Z2" s="319"/>
      <c r="AA2" s="319">
        <v>1</v>
      </c>
      <c r="AB2" s="319">
        <v>2</v>
      </c>
      <c r="AC2" s="319">
        <v>3</v>
      </c>
      <c r="AD2" s="319">
        <v>4</v>
      </c>
      <c r="AE2" s="319"/>
    </row>
    <row r="3" spans="1:31" s="316" customFormat="1" ht="9.75" customHeight="1" x14ac:dyDescent="0.2">
      <c r="A3" s="319">
        <v>70</v>
      </c>
      <c r="B3" s="319">
        <v>4</v>
      </c>
      <c r="C3" s="319">
        <v>4</v>
      </c>
      <c r="D3" s="319">
        <v>2.1</v>
      </c>
      <c r="E3" s="319">
        <v>2.2999999999999998</v>
      </c>
      <c r="F3" s="319">
        <v>70</v>
      </c>
      <c r="G3" s="319">
        <v>54</v>
      </c>
      <c r="H3" s="319">
        <v>54</v>
      </c>
      <c r="I3" s="319">
        <v>54</v>
      </c>
      <c r="J3" s="319">
        <v>58</v>
      </c>
      <c r="K3" s="319">
        <v>70</v>
      </c>
      <c r="L3" s="319">
        <v>24</v>
      </c>
      <c r="M3" s="319">
        <v>24</v>
      </c>
      <c r="N3" s="319">
        <v>24</v>
      </c>
      <c r="O3" s="319">
        <v>24</v>
      </c>
      <c r="P3" s="319">
        <v>70</v>
      </c>
      <c r="Q3" s="319">
        <v>16</v>
      </c>
      <c r="R3" s="319">
        <v>14</v>
      </c>
      <c r="S3" s="319">
        <v>14</v>
      </c>
      <c r="T3" s="319">
        <v>12.7</v>
      </c>
      <c r="U3" s="319">
        <v>70</v>
      </c>
      <c r="V3" s="319">
        <v>9</v>
      </c>
      <c r="W3" s="319">
        <v>8.5</v>
      </c>
      <c r="X3" s="319">
        <v>9</v>
      </c>
      <c r="Y3" s="319">
        <v>10.5</v>
      </c>
      <c r="Z3" s="319">
        <v>70</v>
      </c>
      <c r="AA3" s="319">
        <v>18</v>
      </c>
      <c r="AB3" s="319">
        <v>20</v>
      </c>
      <c r="AC3" s="319">
        <v>20</v>
      </c>
      <c r="AD3" s="319">
        <v>23</v>
      </c>
      <c r="AE3" s="319"/>
    </row>
    <row r="4" spans="1:31" s="316" customFormat="1" ht="9.75" customHeight="1" x14ac:dyDescent="0.2">
      <c r="A4" s="319">
        <v>69</v>
      </c>
      <c r="B4" s="319">
        <v>3.9</v>
      </c>
      <c r="C4" s="319">
        <v>3.9</v>
      </c>
      <c r="D4" s="319">
        <v>2</v>
      </c>
      <c r="E4" s="319">
        <v>2.2799999999999998</v>
      </c>
      <c r="F4" s="319">
        <v>69</v>
      </c>
      <c r="G4" s="319"/>
      <c r="H4" s="319"/>
      <c r="I4" s="319"/>
      <c r="J4" s="319">
        <v>57</v>
      </c>
      <c r="K4" s="319">
        <v>69</v>
      </c>
      <c r="L4" s="319"/>
      <c r="M4" s="319"/>
      <c r="N4" s="319"/>
      <c r="O4" s="319"/>
      <c r="P4" s="319">
        <v>69</v>
      </c>
      <c r="Q4" s="319">
        <v>16.2</v>
      </c>
      <c r="R4" s="319">
        <v>14.2</v>
      </c>
      <c r="S4" s="319">
        <v>14.2</v>
      </c>
      <c r="T4" s="319">
        <v>12.8</v>
      </c>
      <c r="U4" s="319">
        <v>69</v>
      </c>
      <c r="V4" s="319" t="s">
        <v>166</v>
      </c>
      <c r="W4" s="319"/>
      <c r="X4" s="319" t="s">
        <v>166</v>
      </c>
      <c r="Y4" s="319" t="s">
        <v>166</v>
      </c>
      <c r="Z4" s="319">
        <v>69</v>
      </c>
      <c r="AA4" s="319" t="s">
        <v>166</v>
      </c>
      <c r="AB4" s="319"/>
      <c r="AC4" s="319"/>
      <c r="AD4" s="319" t="s">
        <v>166</v>
      </c>
      <c r="AE4" s="319"/>
    </row>
    <row r="5" spans="1:31" s="316" customFormat="1" ht="9.75" customHeight="1" x14ac:dyDescent="0.2">
      <c r="A5" s="319">
        <v>68</v>
      </c>
      <c r="B5" s="319"/>
      <c r="C5" s="319"/>
      <c r="D5" s="319">
        <v>1.95</v>
      </c>
      <c r="E5" s="319">
        <v>2.25</v>
      </c>
      <c r="F5" s="319">
        <v>68</v>
      </c>
      <c r="G5" s="319">
        <v>53</v>
      </c>
      <c r="H5" s="319">
        <v>53</v>
      </c>
      <c r="I5" s="319">
        <v>53</v>
      </c>
      <c r="J5" s="319">
        <v>56</v>
      </c>
      <c r="K5" s="319">
        <v>68</v>
      </c>
      <c r="L5" s="319"/>
      <c r="M5" s="319">
        <v>23</v>
      </c>
      <c r="N5" s="319">
        <v>23</v>
      </c>
      <c r="O5" s="319">
        <v>23</v>
      </c>
      <c r="P5" s="319">
        <v>68</v>
      </c>
      <c r="Q5" s="319">
        <v>16.399999999999999</v>
      </c>
      <c r="R5" s="319">
        <v>14.4</v>
      </c>
      <c r="S5" s="319">
        <v>14.4</v>
      </c>
      <c r="T5" s="319">
        <v>12.9</v>
      </c>
      <c r="U5" s="319">
        <v>68</v>
      </c>
      <c r="V5" s="319"/>
      <c r="W5" s="319">
        <v>8.25</v>
      </c>
      <c r="X5" s="319">
        <v>8.5</v>
      </c>
      <c r="Y5" s="319">
        <v>10.25</v>
      </c>
      <c r="Z5" s="319">
        <v>68</v>
      </c>
      <c r="AA5" s="319" t="s">
        <v>166</v>
      </c>
      <c r="AB5" s="319">
        <v>19</v>
      </c>
      <c r="AC5" s="319">
        <v>19</v>
      </c>
      <c r="AD5" s="319">
        <v>22</v>
      </c>
      <c r="AE5" s="319"/>
    </row>
    <row r="6" spans="1:31" s="316" customFormat="1" ht="9.75" customHeight="1" x14ac:dyDescent="0.2">
      <c r="A6" s="319">
        <v>67</v>
      </c>
      <c r="B6" s="319">
        <v>3.8</v>
      </c>
      <c r="C6" s="319">
        <v>3.8</v>
      </c>
      <c r="D6" s="319">
        <v>1.9</v>
      </c>
      <c r="E6" s="319">
        <v>2.2200000000000002</v>
      </c>
      <c r="F6" s="319">
        <v>67</v>
      </c>
      <c r="G6" s="319"/>
      <c r="H6" s="319"/>
      <c r="I6" s="319"/>
      <c r="J6" s="319"/>
      <c r="K6" s="319">
        <v>67</v>
      </c>
      <c r="L6" s="319">
        <v>23</v>
      </c>
      <c r="M6" s="319"/>
      <c r="N6" s="319"/>
      <c r="O6" s="319" t="s">
        <v>166</v>
      </c>
      <c r="P6" s="319">
        <v>67</v>
      </c>
      <c r="Q6" s="319">
        <v>16.600000000000001</v>
      </c>
      <c r="R6" s="319">
        <v>14.6</v>
      </c>
      <c r="S6" s="319">
        <v>14.6</v>
      </c>
      <c r="T6" s="319">
        <v>13</v>
      </c>
      <c r="U6" s="319">
        <v>67</v>
      </c>
      <c r="V6" s="319">
        <v>8.75</v>
      </c>
      <c r="W6" s="319">
        <v>8</v>
      </c>
      <c r="X6" s="319">
        <v>8.25</v>
      </c>
      <c r="Y6" s="319" t="s">
        <v>166</v>
      </c>
      <c r="Z6" s="319">
        <v>67</v>
      </c>
      <c r="AA6" s="319">
        <v>17</v>
      </c>
      <c r="AB6" s="319"/>
      <c r="AC6" s="319"/>
      <c r="AD6" s="319"/>
      <c r="AE6" s="319"/>
    </row>
    <row r="7" spans="1:31" s="316" customFormat="1" ht="9.75" customHeight="1" x14ac:dyDescent="0.2">
      <c r="A7" s="319">
        <v>66</v>
      </c>
      <c r="B7" s="319">
        <v>3.7</v>
      </c>
      <c r="C7" s="319">
        <v>3.7</v>
      </c>
      <c r="D7" s="319">
        <v>1.85</v>
      </c>
      <c r="E7" s="319">
        <v>2.2000000000000002</v>
      </c>
      <c r="F7" s="319">
        <v>66</v>
      </c>
      <c r="G7" s="319">
        <v>52</v>
      </c>
      <c r="H7" s="319">
        <v>52</v>
      </c>
      <c r="I7" s="319">
        <v>52</v>
      </c>
      <c r="J7" s="319">
        <v>55</v>
      </c>
      <c r="K7" s="319">
        <v>66</v>
      </c>
      <c r="L7" s="319" t="s">
        <v>166</v>
      </c>
      <c r="M7" s="319">
        <v>22</v>
      </c>
      <c r="N7" s="319">
        <v>22</v>
      </c>
      <c r="O7" s="319">
        <v>22</v>
      </c>
      <c r="P7" s="319">
        <v>66</v>
      </c>
      <c r="Q7" s="319">
        <v>16.8</v>
      </c>
      <c r="R7" s="319">
        <v>14.8</v>
      </c>
      <c r="S7" s="319">
        <v>14.8</v>
      </c>
      <c r="T7" s="319">
        <v>13.1</v>
      </c>
      <c r="U7" s="319">
        <v>66</v>
      </c>
      <c r="V7" s="319"/>
      <c r="W7" s="319"/>
      <c r="X7" s="319"/>
      <c r="Y7" s="319">
        <v>10</v>
      </c>
      <c r="Z7" s="319">
        <v>66</v>
      </c>
      <c r="AA7" s="319" t="s">
        <v>166</v>
      </c>
      <c r="AB7" s="319">
        <v>18</v>
      </c>
      <c r="AC7" s="319">
        <v>18</v>
      </c>
      <c r="AD7" s="319">
        <v>21</v>
      </c>
      <c r="AE7" s="319"/>
    </row>
    <row r="8" spans="1:31" s="316" customFormat="1" ht="9.75" customHeight="1" x14ac:dyDescent="0.2">
      <c r="A8" s="319">
        <v>65</v>
      </c>
      <c r="B8" s="319">
        <v>3.6</v>
      </c>
      <c r="C8" s="319">
        <v>3.6</v>
      </c>
      <c r="D8" s="319">
        <v>1.8</v>
      </c>
      <c r="E8" s="319">
        <v>2.1800000000000002</v>
      </c>
      <c r="F8" s="319">
        <v>65</v>
      </c>
      <c r="G8" s="319"/>
      <c r="H8" s="319"/>
      <c r="I8" s="319"/>
      <c r="J8" s="319"/>
      <c r="K8" s="319">
        <v>65</v>
      </c>
      <c r="L8" s="319" t="s">
        <v>166</v>
      </c>
      <c r="M8" s="319"/>
      <c r="N8" s="319"/>
      <c r="O8" s="319" t="s">
        <v>166</v>
      </c>
      <c r="P8" s="319">
        <v>65</v>
      </c>
      <c r="Q8" s="319">
        <v>17</v>
      </c>
      <c r="R8" s="319">
        <v>15</v>
      </c>
      <c r="S8" s="319">
        <v>15</v>
      </c>
      <c r="T8" s="319">
        <v>13.2</v>
      </c>
      <c r="U8" s="319">
        <v>65</v>
      </c>
      <c r="V8" s="319">
        <v>8.5</v>
      </c>
      <c r="W8" s="319">
        <v>7.75</v>
      </c>
      <c r="X8" s="319">
        <v>8</v>
      </c>
      <c r="Y8" s="319">
        <v>9.75</v>
      </c>
      <c r="Z8" s="319">
        <v>65</v>
      </c>
      <c r="AA8" s="319" t="s">
        <v>166</v>
      </c>
      <c r="AB8" s="319"/>
      <c r="AC8" s="319"/>
      <c r="AD8" s="319" t="s">
        <v>166</v>
      </c>
      <c r="AE8" s="319"/>
    </row>
    <row r="9" spans="1:31" s="316" customFormat="1" ht="9.75" customHeight="1" x14ac:dyDescent="0.2">
      <c r="A9" s="319">
        <v>64</v>
      </c>
      <c r="B9" s="319"/>
      <c r="C9" s="319"/>
      <c r="D9" s="319">
        <v>1.78</v>
      </c>
      <c r="E9" s="319">
        <v>2.15</v>
      </c>
      <c r="F9" s="319">
        <v>64</v>
      </c>
      <c r="G9" s="319">
        <v>51</v>
      </c>
      <c r="H9" s="319">
        <v>51</v>
      </c>
      <c r="I9" s="319">
        <v>51</v>
      </c>
      <c r="J9" s="319">
        <v>54</v>
      </c>
      <c r="K9" s="319">
        <v>64</v>
      </c>
      <c r="L9" s="319">
        <v>22</v>
      </c>
      <c r="M9" s="319">
        <v>21</v>
      </c>
      <c r="N9" s="319">
        <v>21</v>
      </c>
      <c r="O9" s="319">
        <v>21</v>
      </c>
      <c r="P9" s="319">
        <v>64</v>
      </c>
      <c r="Q9" s="319">
        <v>17.2</v>
      </c>
      <c r="R9" s="319">
        <v>15.2</v>
      </c>
      <c r="S9" s="319">
        <v>15.2</v>
      </c>
      <c r="T9" s="319">
        <v>13.3</v>
      </c>
      <c r="U9" s="319">
        <v>64</v>
      </c>
      <c r="V9" s="319"/>
      <c r="W9" s="319">
        <v>7.5</v>
      </c>
      <c r="X9" s="319">
        <v>7.75</v>
      </c>
      <c r="Y9" s="319">
        <v>9.5</v>
      </c>
      <c r="Z9" s="319">
        <v>64</v>
      </c>
      <c r="AA9" s="319">
        <v>16</v>
      </c>
      <c r="AB9" s="319">
        <v>17</v>
      </c>
      <c r="AC9" s="319">
        <v>17</v>
      </c>
      <c r="AD9" s="319">
        <v>20</v>
      </c>
      <c r="AE9" s="319"/>
    </row>
    <row r="10" spans="1:31" s="316" customFormat="1" ht="9.75" customHeight="1" x14ac:dyDescent="0.2">
      <c r="A10" s="319">
        <v>63</v>
      </c>
      <c r="B10" s="319">
        <v>3.5</v>
      </c>
      <c r="C10" s="319">
        <v>3.5</v>
      </c>
      <c r="D10" s="319">
        <v>1.76</v>
      </c>
      <c r="E10" s="319">
        <v>2.12</v>
      </c>
      <c r="F10" s="319">
        <v>63</v>
      </c>
      <c r="G10" s="319"/>
      <c r="H10" s="319"/>
      <c r="I10" s="319"/>
      <c r="J10" s="319"/>
      <c r="K10" s="319">
        <v>63</v>
      </c>
      <c r="L10" s="319" t="s">
        <v>166</v>
      </c>
      <c r="M10" s="319"/>
      <c r="N10" s="319"/>
      <c r="O10" s="319"/>
      <c r="P10" s="319">
        <v>63</v>
      </c>
      <c r="Q10" s="319">
        <v>17.399999999999999</v>
      </c>
      <c r="R10" s="319">
        <v>15.4</v>
      </c>
      <c r="S10" s="319">
        <v>15.4</v>
      </c>
      <c r="T10" s="319">
        <v>13.4</v>
      </c>
      <c r="U10" s="319">
        <v>63</v>
      </c>
      <c r="V10" s="319">
        <v>8.25</v>
      </c>
      <c r="W10" s="319"/>
      <c r="X10" s="319"/>
      <c r="Y10" s="319" t="s">
        <v>166</v>
      </c>
      <c r="Z10" s="319">
        <v>63</v>
      </c>
      <c r="AA10" s="319" t="s">
        <v>166</v>
      </c>
      <c r="AB10" s="319" t="s">
        <v>166</v>
      </c>
      <c r="AC10" s="319" t="s">
        <v>166</v>
      </c>
      <c r="AD10" s="319" t="s">
        <v>166</v>
      </c>
      <c r="AE10" s="319"/>
    </row>
    <row r="11" spans="1:31" s="316" customFormat="1" ht="9.75" customHeight="1" x14ac:dyDescent="0.2">
      <c r="A11" s="319">
        <v>62</v>
      </c>
      <c r="B11" s="319">
        <v>3.4</v>
      </c>
      <c r="C11" s="319">
        <v>3.4</v>
      </c>
      <c r="D11" s="319">
        <v>1.74</v>
      </c>
      <c r="E11" s="319">
        <v>2</v>
      </c>
      <c r="F11" s="319">
        <v>62</v>
      </c>
      <c r="G11" s="319">
        <v>50</v>
      </c>
      <c r="H11" s="319">
        <v>50</v>
      </c>
      <c r="I11" s="319">
        <v>50</v>
      </c>
      <c r="J11" s="319">
        <v>53</v>
      </c>
      <c r="K11" s="319">
        <v>62</v>
      </c>
      <c r="L11" s="319" t="s">
        <v>166</v>
      </c>
      <c r="M11" s="319">
        <v>20</v>
      </c>
      <c r="N11" s="319">
        <v>20</v>
      </c>
      <c r="O11" s="319">
        <v>20</v>
      </c>
      <c r="P11" s="319">
        <v>62</v>
      </c>
      <c r="Q11" s="319">
        <v>17.600000000000001</v>
      </c>
      <c r="R11" s="319">
        <v>15.6</v>
      </c>
      <c r="S11" s="319">
        <v>15.6</v>
      </c>
      <c r="T11" s="319">
        <v>13.5</v>
      </c>
      <c r="U11" s="319">
        <v>62</v>
      </c>
      <c r="V11" s="319"/>
      <c r="W11" s="319">
        <v>7.25</v>
      </c>
      <c r="X11" s="319">
        <v>7.5</v>
      </c>
      <c r="Y11" s="319">
        <v>9.25</v>
      </c>
      <c r="Z11" s="319">
        <v>62</v>
      </c>
      <c r="AA11" s="319" t="s">
        <v>166</v>
      </c>
      <c r="AB11" s="319"/>
      <c r="AC11" s="319"/>
      <c r="AD11" s="319" t="s">
        <v>166</v>
      </c>
      <c r="AE11" s="319"/>
    </row>
    <row r="12" spans="1:31" s="316" customFormat="1" ht="9.75" customHeight="1" x14ac:dyDescent="0.2">
      <c r="A12" s="319">
        <v>61</v>
      </c>
      <c r="B12" s="319">
        <v>3.3</v>
      </c>
      <c r="C12" s="319">
        <v>3.3</v>
      </c>
      <c r="D12" s="319">
        <v>1.72</v>
      </c>
      <c r="E12" s="319">
        <v>1.98</v>
      </c>
      <c r="F12" s="319">
        <v>61</v>
      </c>
      <c r="G12" s="319">
        <v>49</v>
      </c>
      <c r="H12" s="319">
        <v>49</v>
      </c>
      <c r="I12" s="319">
        <v>49</v>
      </c>
      <c r="J12" s="319"/>
      <c r="K12" s="319">
        <v>61</v>
      </c>
      <c r="L12" s="319"/>
      <c r="M12" s="319"/>
      <c r="N12" s="319"/>
      <c r="O12" s="319"/>
      <c r="P12" s="319">
        <v>61</v>
      </c>
      <c r="Q12" s="319">
        <v>18</v>
      </c>
      <c r="R12" s="319">
        <v>15.8</v>
      </c>
      <c r="S12" s="319">
        <v>15.8</v>
      </c>
      <c r="T12" s="319">
        <v>13.6</v>
      </c>
      <c r="U12" s="319">
        <v>61</v>
      </c>
      <c r="V12" s="319">
        <v>8</v>
      </c>
      <c r="W12" s="319">
        <v>7</v>
      </c>
      <c r="X12" s="319"/>
      <c r="Y12" s="319" t="s">
        <v>166</v>
      </c>
      <c r="Z12" s="319">
        <v>61</v>
      </c>
      <c r="AA12" s="319">
        <v>15</v>
      </c>
      <c r="AB12" s="319">
        <v>16</v>
      </c>
      <c r="AC12" s="319">
        <v>16</v>
      </c>
      <c r="AD12" s="319">
        <v>19</v>
      </c>
      <c r="AE12" s="319"/>
    </row>
    <row r="13" spans="1:31" s="316" customFormat="1" ht="9.75" customHeight="1" x14ac:dyDescent="0.2">
      <c r="A13" s="319">
        <v>60</v>
      </c>
      <c r="B13" s="319"/>
      <c r="C13" s="319"/>
      <c r="D13" s="319">
        <v>1.7</v>
      </c>
      <c r="E13" s="319">
        <v>1.95</v>
      </c>
      <c r="F13" s="319">
        <v>60</v>
      </c>
      <c r="G13" s="319">
        <v>48</v>
      </c>
      <c r="H13" s="319">
        <v>48</v>
      </c>
      <c r="I13" s="319">
        <v>48</v>
      </c>
      <c r="J13" s="319">
        <v>52</v>
      </c>
      <c r="K13" s="319">
        <v>60</v>
      </c>
      <c r="L13" s="319">
        <v>21</v>
      </c>
      <c r="M13" s="319">
        <v>19</v>
      </c>
      <c r="N13" s="319">
        <v>19</v>
      </c>
      <c r="O13" s="319" t="s">
        <v>166</v>
      </c>
      <c r="P13" s="319">
        <v>60</v>
      </c>
      <c r="Q13" s="319">
        <v>18.2</v>
      </c>
      <c r="R13" s="319">
        <v>16</v>
      </c>
      <c r="S13" s="319">
        <v>16</v>
      </c>
      <c r="T13" s="319">
        <v>13.7</v>
      </c>
      <c r="U13" s="319">
        <v>60</v>
      </c>
      <c r="V13" s="319"/>
      <c r="W13" s="319"/>
      <c r="X13" s="319">
        <v>7.25</v>
      </c>
      <c r="Y13" s="319">
        <v>9</v>
      </c>
      <c r="Z13" s="319">
        <v>60</v>
      </c>
      <c r="AA13" s="319" t="s">
        <v>166</v>
      </c>
      <c r="AB13" s="319" t="s">
        <v>166</v>
      </c>
      <c r="AC13" s="319" t="s">
        <v>166</v>
      </c>
      <c r="AD13" s="319" t="s">
        <v>166</v>
      </c>
      <c r="AE13" s="319"/>
    </row>
    <row r="14" spans="1:31" s="316" customFormat="1" ht="9.75" customHeight="1" x14ac:dyDescent="0.2">
      <c r="A14" s="319">
        <v>59</v>
      </c>
      <c r="B14" s="319">
        <v>3.2</v>
      </c>
      <c r="C14" s="319">
        <v>3.2</v>
      </c>
      <c r="D14" s="319">
        <v>1.68</v>
      </c>
      <c r="E14" s="319">
        <v>1.92</v>
      </c>
      <c r="F14" s="319">
        <v>59</v>
      </c>
      <c r="G14" s="319">
        <v>47</v>
      </c>
      <c r="H14" s="319">
        <v>47</v>
      </c>
      <c r="I14" s="319">
        <v>47</v>
      </c>
      <c r="J14" s="319"/>
      <c r="K14" s="319">
        <v>59</v>
      </c>
      <c r="L14" s="319" t="s">
        <v>166</v>
      </c>
      <c r="M14" s="319"/>
      <c r="N14" s="319"/>
      <c r="O14" s="319">
        <v>19</v>
      </c>
      <c r="P14" s="319">
        <v>59</v>
      </c>
      <c r="Q14" s="319">
        <v>18.399999999999999</v>
      </c>
      <c r="R14" s="319">
        <v>16.2</v>
      </c>
      <c r="S14" s="319">
        <v>16.2</v>
      </c>
      <c r="T14" s="319">
        <v>13.8</v>
      </c>
      <c r="U14" s="319">
        <v>59</v>
      </c>
      <c r="V14" s="319">
        <v>7.75</v>
      </c>
      <c r="W14" s="319">
        <v>6.75</v>
      </c>
      <c r="X14" s="319"/>
      <c r="Y14" s="319" t="s">
        <v>166</v>
      </c>
      <c r="Z14" s="319">
        <v>59</v>
      </c>
      <c r="AA14" s="319" t="s">
        <v>166</v>
      </c>
      <c r="AB14" s="319"/>
      <c r="AC14" s="319"/>
      <c r="AD14" s="319" t="s">
        <v>166</v>
      </c>
      <c r="AE14" s="319"/>
    </row>
    <row r="15" spans="1:31" s="316" customFormat="1" ht="9.75" customHeight="1" x14ac:dyDescent="0.2">
      <c r="A15" s="319">
        <v>58</v>
      </c>
      <c r="B15" s="319">
        <v>3.1</v>
      </c>
      <c r="C15" s="319">
        <v>3.1</v>
      </c>
      <c r="D15" s="319">
        <v>1.66</v>
      </c>
      <c r="E15" s="319">
        <v>1.9</v>
      </c>
      <c r="F15" s="319">
        <v>58</v>
      </c>
      <c r="G15" s="319">
        <v>46</v>
      </c>
      <c r="H15" s="319">
        <v>46</v>
      </c>
      <c r="I15" s="319">
        <v>46</v>
      </c>
      <c r="J15" s="319">
        <v>51</v>
      </c>
      <c r="K15" s="319">
        <v>58</v>
      </c>
      <c r="L15" s="319"/>
      <c r="M15" s="319">
        <v>18</v>
      </c>
      <c r="N15" s="319"/>
      <c r="O15" s="319"/>
      <c r="P15" s="319">
        <v>58</v>
      </c>
      <c r="Q15" s="319">
        <v>18.600000000000001</v>
      </c>
      <c r="R15" s="319">
        <v>16.399999999999999</v>
      </c>
      <c r="S15" s="319">
        <v>16.399999999999999</v>
      </c>
      <c r="T15" s="319">
        <v>13.9</v>
      </c>
      <c r="U15" s="319">
        <v>58</v>
      </c>
      <c r="V15" s="319"/>
      <c r="W15" s="319"/>
      <c r="X15" s="319">
        <v>7</v>
      </c>
      <c r="Y15" s="319">
        <v>8.75</v>
      </c>
      <c r="Z15" s="319">
        <v>58</v>
      </c>
      <c r="AA15" s="319">
        <v>14</v>
      </c>
      <c r="AB15" s="319">
        <v>15</v>
      </c>
      <c r="AC15" s="319">
        <v>15</v>
      </c>
      <c r="AD15" s="319">
        <v>18</v>
      </c>
      <c r="AE15" s="319"/>
    </row>
    <row r="16" spans="1:31" s="316" customFormat="1" ht="9.75" customHeight="1" x14ac:dyDescent="0.2">
      <c r="A16" s="319">
        <v>57</v>
      </c>
      <c r="B16" s="319">
        <v>3</v>
      </c>
      <c r="C16" s="319">
        <v>3</v>
      </c>
      <c r="D16" s="319">
        <v>1.64</v>
      </c>
      <c r="E16" s="319">
        <v>1.87</v>
      </c>
      <c r="F16" s="319">
        <v>57</v>
      </c>
      <c r="G16" s="319">
        <v>45</v>
      </c>
      <c r="H16" s="319">
        <v>45</v>
      </c>
      <c r="I16" s="319">
        <v>45</v>
      </c>
      <c r="J16" s="319"/>
      <c r="K16" s="319">
        <v>57</v>
      </c>
      <c r="L16" s="319" t="s">
        <v>166</v>
      </c>
      <c r="M16" s="319"/>
      <c r="N16" s="319">
        <v>18</v>
      </c>
      <c r="O16" s="319" t="s">
        <v>166</v>
      </c>
      <c r="P16" s="319">
        <v>57</v>
      </c>
      <c r="Q16" s="319">
        <v>18.8</v>
      </c>
      <c r="R16" s="319">
        <v>16.600000000000001</v>
      </c>
      <c r="S16" s="319">
        <v>16.600000000000001</v>
      </c>
      <c r="T16" s="319">
        <v>14</v>
      </c>
      <c r="U16" s="319">
        <v>57</v>
      </c>
      <c r="V16" s="319">
        <v>7.5</v>
      </c>
      <c r="W16" s="319">
        <v>6.5</v>
      </c>
      <c r="X16" s="319"/>
      <c r="Y16" s="319">
        <v>8.5</v>
      </c>
      <c r="Z16" s="319">
        <v>57</v>
      </c>
      <c r="AA16" s="319" t="s">
        <v>166</v>
      </c>
      <c r="AB16" s="319"/>
      <c r="AC16" s="319"/>
      <c r="AD16" s="319" t="s">
        <v>166</v>
      </c>
      <c r="AE16" s="319"/>
    </row>
    <row r="17" spans="1:31" s="316" customFormat="1" ht="9.75" customHeight="1" x14ac:dyDescent="0.2">
      <c r="A17" s="319">
        <v>56</v>
      </c>
      <c r="B17" s="319"/>
      <c r="C17" s="319"/>
      <c r="D17" s="319">
        <v>1.62</v>
      </c>
      <c r="E17" s="319">
        <v>1.85</v>
      </c>
      <c r="F17" s="319">
        <v>56</v>
      </c>
      <c r="G17" s="319">
        <v>44</v>
      </c>
      <c r="H17" s="319">
        <v>44</v>
      </c>
      <c r="I17" s="319">
        <v>44</v>
      </c>
      <c r="J17" s="319">
        <v>50</v>
      </c>
      <c r="K17" s="319">
        <v>56</v>
      </c>
      <c r="L17" s="319">
        <v>20</v>
      </c>
      <c r="M17" s="319">
        <v>17</v>
      </c>
      <c r="N17" s="319"/>
      <c r="O17" s="319">
        <v>18</v>
      </c>
      <c r="P17" s="319">
        <v>56</v>
      </c>
      <c r="Q17" s="319">
        <v>19</v>
      </c>
      <c r="R17" s="319">
        <v>16.8</v>
      </c>
      <c r="S17" s="319">
        <v>16.8</v>
      </c>
      <c r="T17" s="319">
        <v>14.2</v>
      </c>
      <c r="U17" s="319">
        <v>56</v>
      </c>
      <c r="V17" s="319"/>
      <c r="W17" s="319"/>
      <c r="X17" s="319">
        <v>6.75</v>
      </c>
      <c r="Y17" s="319">
        <v>8.25</v>
      </c>
      <c r="Z17" s="319">
        <v>56</v>
      </c>
      <c r="AA17" s="319" t="s">
        <v>166</v>
      </c>
      <c r="AB17" s="319"/>
      <c r="AC17" s="319"/>
      <c r="AD17" s="319" t="s">
        <v>166</v>
      </c>
      <c r="AE17" s="319"/>
    </row>
    <row r="18" spans="1:31" s="316" customFormat="1" ht="9.75" customHeight="1" x14ac:dyDescent="0.2">
      <c r="A18" s="319">
        <v>55</v>
      </c>
      <c r="B18" s="319">
        <v>2.9</v>
      </c>
      <c r="C18" s="319">
        <v>2.9</v>
      </c>
      <c r="D18" s="319">
        <v>1.6</v>
      </c>
      <c r="E18" s="319">
        <v>1.82</v>
      </c>
      <c r="F18" s="319">
        <v>55</v>
      </c>
      <c r="G18" s="319">
        <v>43</v>
      </c>
      <c r="H18" s="319">
        <v>43</v>
      </c>
      <c r="I18" s="319">
        <v>43</v>
      </c>
      <c r="J18" s="319"/>
      <c r="K18" s="319">
        <v>55</v>
      </c>
      <c r="L18" s="319"/>
      <c r="M18" s="319"/>
      <c r="N18" s="319"/>
      <c r="O18" s="319"/>
      <c r="P18" s="319">
        <v>55</v>
      </c>
      <c r="Q18" s="319">
        <v>19.2</v>
      </c>
      <c r="R18" s="319">
        <v>17</v>
      </c>
      <c r="S18" s="319">
        <v>17</v>
      </c>
      <c r="T18" s="319">
        <v>14.4</v>
      </c>
      <c r="U18" s="319">
        <v>55</v>
      </c>
      <c r="V18" s="319">
        <v>7.25</v>
      </c>
      <c r="W18" s="319">
        <v>6.25</v>
      </c>
      <c r="X18" s="319"/>
      <c r="Y18" s="319">
        <v>8</v>
      </c>
      <c r="Z18" s="319">
        <v>55</v>
      </c>
      <c r="AA18" s="319">
        <v>13</v>
      </c>
      <c r="AB18" s="319">
        <v>14</v>
      </c>
      <c r="AC18" s="319">
        <v>14</v>
      </c>
      <c r="AD18" s="319">
        <v>17</v>
      </c>
      <c r="AE18" s="319"/>
    </row>
    <row r="19" spans="1:31" s="316" customFormat="1" ht="9.75" customHeight="1" x14ac:dyDescent="0.2">
      <c r="A19" s="319">
        <v>54</v>
      </c>
      <c r="B19" s="319">
        <v>2.8</v>
      </c>
      <c r="C19" s="319">
        <v>2.8</v>
      </c>
      <c r="D19" s="319">
        <v>1.59</v>
      </c>
      <c r="E19" s="319">
        <v>1.8</v>
      </c>
      <c r="F19" s="319">
        <v>54</v>
      </c>
      <c r="G19" s="319">
        <v>42</v>
      </c>
      <c r="H19" s="319">
        <v>42</v>
      </c>
      <c r="I19" s="319">
        <v>42</v>
      </c>
      <c r="J19" s="319">
        <v>49</v>
      </c>
      <c r="K19" s="319">
        <v>54</v>
      </c>
      <c r="L19" s="319" t="s">
        <v>166</v>
      </c>
      <c r="M19" s="319">
        <v>16</v>
      </c>
      <c r="N19" s="319">
        <v>17</v>
      </c>
      <c r="O19" s="319" t="s">
        <v>166</v>
      </c>
      <c r="P19" s="319">
        <v>54</v>
      </c>
      <c r="Q19" s="319">
        <v>19.399999999999999</v>
      </c>
      <c r="R19" s="319">
        <v>17.2</v>
      </c>
      <c r="S19" s="319">
        <v>17.2</v>
      </c>
      <c r="T19" s="319">
        <v>14.6</v>
      </c>
      <c r="U19" s="319">
        <v>54</v>
      </c>
      <c r="V19" s="319"/>
      <c r="W19" s="319"/>
      <c r="X19" s="319">
        <v>6.5</v>
      </c>
      <c r="Y19" s="319" t="s">
        <v>166</v>
      </c>
      <c r="Z19" s="319">
        <v>54</v>
      </c>
      <c r="AA19" s="319" t="s">
        <v>166</v>
      </c>
      <c r="AB19" s="319" t="s">
        <v>166</v>
      </c>
      <c r="AC19" s="319" t="s">
        <v>166</v>
      </c>
      <c r="AD19" s="319" t="s">
        <v>166</v>
      </c>
      <c r="AE19" s="319"/>
    </row>
    <row r="20" spans="1:31" s="316" customFormat="1" ht="9.75" customHeight="1" x14ac:dyDescent="0.2">
      <c r="A20" s="319">
        <v>53</v>
      </c>
      <c r="B20" s="319">
        <v>2.7</v>
      </c>
      <c r="C20" s="319">
        <v>2.7</v>
      </c>
      <c r="D20" s="319">
        <v>1.58</v>
      </c>
      <c r="E20" s="319">
        <v>1.78</v>
      </c>
      <c r="F20" s="319">
        <v>53</v>
      </c>
      <c r="G20" s="319">
        <v>41</v>
      </c>
      <c r="H20" s="319">
        <v>41</v>
      </c>
      <c r="I20" s="319">
        <v>41</v>
      </c>
      <c r="J20" s="319"/>
      <c r="K20" s="319">
        <v>53</v>
      </c>
      <c r="L20" s="319">
        <v>19</v>
      </c>
      <c r="M20" s="319"/>
      <c r="N20" s="319"/>
      <c r="O20" s="319">
        <v>17</v>
      </c>
      <c r="P20" s="319">
        <v>53</v>
      </c>
      <c r="Q20" s="319">
        <v>19.600000000000001</v>
      </c>
      <c r="R20" s="319">
        <v>17.399999999999999</v>
      </c>
      <c r="S20" s="319">
        <v>17.399999999999999</v>
      </c>
      <c r="T20" s="319">
        <v>14.8</v>
      </c>
      <c r="U20" s="319">
        <v>53</v>
      </c>
      <c r="V20" s="319">
        <v>7</v>
      </c>
      <c r="W20" s="319">
        <v>6</v>
      </c>
      <c r="X20" s="319" t="s">
        <v>166</v>
      </c>
      <c r="Y20" s="319">
        <v>7.75</v>
      </c>
      <c r="Z20" s="319">
        <v>53</v>
      </c>
      <c r="AA20" s="319" t="s">
        <v>166</v>
      </c>
      <c r="AB20" s="319"/>
      <c r="AC20" s="319"/>
      <c r="AD20" s="319" t="s">
        <v>166</v>
      </c>
      <c r="AE20" s="319"/>
    </row>
    <row r="21" spans="1:31" s="316" customFormat="1" ht="9.75" customHeight="1" x14ac:dyDescent="0.2">
      <c r="A21" s="319">
        <v>52</v>
      </c>
      <c r="B21" s="319"/>
      <c r="C21" s="319"/>
      <c r="D21" s="319">
        <v>1.57</v>
      </c>
      <c r="E21" s="319">
        <v>1.75</v>
      </c>
      <c r="F21" s="319">
        <v>52</v>
      </c>
      <c r="G21" s="319">
        <v>40</v>
      </c>
      <c r="H21" s="319">
        <v>40</v>
      </c>
      <c r="I21" s="319">
        <v>40</v>
      </c>
      <c r="J21" s="319">
        <v>48</v>
      </c>
      <c r="K21" s="319">
        <v>52</v>
      </c>
      <c r="L21" s="319" t="s">
        <v>166</v>
      </c>
      <c r="M21" s="319">
        <v>15</v>
      </c>
      <c r="N21" s="319"/>
      <c r="O21" s="319"/>
      <c r="P21" s="319">
        <v>52</v>
      </c>
      <c r="Q21" s="319">
        <v>19.8</v>
      </c>
      <c r="R21" s="319">
        <v>17.600000000000001</v>
      </c>
      <c r="S21" s="319">
        <v>17.600000000000001</v>
      </c>
      <c r="T21" s="319">
        <v>15</v>
      </c>
      <c r="U21" s="319">
        <v>52</v>
      </c>
      <c r="V21" s="319"/>
      <c r="W21" s="319"/>
      <c r="X21" s="319">
        <v>6.25</v>
      </c>
      <c r="Y21" s="319">
        <v>7.5</v>
      </c>
      <c r="Z21" s="319">
        <v>52</v>
      </c>
      <c r="AA21" s="319">
        <v>12</v>
      </c>
      <c r="AB21" s="319">
        <v>13</v>
      </c>
      <c r="AC21" s="319">
        <v>13</v>
      </c>
      <c r="AD21" s="319">
        <v>16</v>
      </c>
      <c r="AE21" s="319"/>
    </row>
    <row r="22" spans="1:31" s="316" customFormat="1" ht="9.75" customHeight="1" x14ac:dyDescent="0.2">
      <c r="A22" s="319">
        <v>51</v>
      </c>
      <c r="B22" s="319">
        <v>2.6</v>
      </c>
      <c r="C22" s="319">
        <v>2.6</v>
      </c>
      <c r="D22" s="319">
        <v>1.56</v>
      </c>
      <c r="E22" s="319">
        <v>1.72</v>
      </c>
      <c r="F22" s="319">
        <v>51</v>
      </c>
      <c r="G22" s="319">
        <v>39</v>
      </c>
      <c r="H22" s="319">
        <v>39</v>
      </c>
      <c r="I22" s="319">
        <v>39</v>
      </c>
      <c r="J22" s="319">
        <v>47</v>
      </c>
      <c r="K22" s="319">
        <v>51</v>
      </c>
      <c r="L22" s="319" t="s">
        <v>166</v>
      </c>
      <c r="M22" s="319"/>
      <c r="N22" s="319">
        <v>16</v>
      </c>
      <c r="O22" s="319" t="s">
        <v>166</v>
      </c>
      <c r="P22" s="319">
        <v>51</v>
      </c>
      <c r="Q22" s="319">
        <v>20</v>
      </c>
      <c r="R22" s="319">
        <v>18</v>
      </c>
      <c r="S22" s="319">
        <v>18</v>
      </c>
      <c r="T22" s="319">
        <v>15.2</v>
      </c>
      <c r="U22" s="319">
        <v>51</v>
      </c>
      <c r="V22" s="319">
        <v>6.75</v>
      </c>
      <c r="W22" s="319">
        <v>5.75</v>
      </c>
      <c r="X22" s="319"/>
      <c r="Y22" s="319" t="s">
        <v>166</v>
      </c>
      <c r="Z22" s="319">
        <v>51</v>
      </c>
      <c r="AA22" s="319" t="s">
        <v>166</v>
      </c>
      <c r="AB22" s="319" t="s">
        <v>166</v>
      </c>
      <c r="AC22" s="319" t="s">
        <v>166</v>
      </c>
      <c r="AD22" s="319" t="s">
        <v>166</v>
      </c>
      <c r="AE22" s="319"/>
    </row>
    <row r="23" spans="1:31" s="316" customFormat="1" ht="9.75" customHeight="1" x14ac:dyDescent="0.2">
      <c r="A23" s="319">
        <v>50</v>
      </c>
      <c r="B23" s="319">
        <v>2.5</v>
      </c>
      <c r="C23" s="319">
        <v>2.5</v>
      </c>
      <c r="D23" s="319">
        <v>1.55</v>
      </c>
      <c r="E23" s="319">
        <v>1.7</v>
      </c>
      <c r="F23" s="319">
        <v>50</v>
      </c>
      <c r="G23" s="319">
        <v>38</v>
      </c>
      <c r="H23" s="319">
        <v>38</v>
      </c>
      <c r="I23" s="319">
        <v>38</v>
      </c>
      <c r="J23" s="319">
        <v>46</v>
      </c>
      <c r="K23" s="319">
        <v>50</v>
      </c>
      <c r="L23" s="319">
        <v>18</v>
      </c>
      <c r="M23" s="319">
        <v>14</v>
      </c>
      <c r="N23" s="319"/>
      <c r="O23" s="319">
        <v>16</v>
      </c>
      <c r="P23" s="319">
        <v>50</v>
      </c>
      <c r="Q23" s="319">
        <v>20.2</v>
      </c>
      <c r="R23" s="319">
        <v>18.2</v>
      </c>
      <c r="S23" s="319">
        <v>18.2</v>
      </c>
      <c r="T23" s="319">
        <v>15.4</v>
      </c>
      <c r="U23" s="319">
        <v>50</v>
      </c>
      <c r="V23" s="319"/>
      <c r="W23" s="319"/>
      <c r="X23" s="319">
        <v>6</v>
      </c>
      <c r="Y23" s="319">
        <v>7.25</v>
      </c>
      <c r="Z23" s="319">
        <v>50</v>
      </c>
      <c r="AA23" s="319" t="s">
        <v>166</v>
      </c>
      <c r="AB23" s="319"/>
      <c r="AC23" s="319"/>
      <c r="AD23" s="319" t="s">
        <v>166</v>
      </c>
      <c r="AE23" s="319"/>
    </row>
    <row r="24" spans="1:31" s="316" customFormat="1" ht="9.75" customHeight="1" x14ac:dyDescent="0.2">
      <c r="A24" s="319">
        <v>49</v>
      </c>
      <c r="B24" s="319"/>
      <c r="C24" s="319"/>
      <c r="D24" s="319">
        <v>1.54</v>
      </c>
      <c r="E24" s="319">
        <v>1.68</v>
      </c>
      <c r="F24" s="319">
        <v>49</v>
      </c>
      <c r="G24" s="319">
        <v>37</v>
      </c>
      <c r="H24" s="319">
        <v>37</v>
      </c>
      <c r="I24" s="319">
        <v>37</v>
      </c>
      <c r="J24" s="319">
        <v>45</v>
      </c>
      <c r="K24" s="319">
        <v>49</v>
      </c>
      <c r="L24" s="319"/>
      <c r="M24" s="319"/>
      <c r="N24" s="319"/>
      <c r="O24" s="319"/>
      <c r="P24" s="319">
        <v>49</v>
      </c>
      <c r="Q24" s="319">
        <v>20.399999999999999</v>
      </c>
      <c r="R24" s="319">
        <v>18.399999999999999</v>
      </c>
      <c r="S24" s="319">
        <v>18.399999999999999</v>
      </c>
      <c r="T24" s="319">
        <v>15.6</v>
      </c>
      <c r="U24" s="319">
        <v>49</v>
      </c>
      <c r="V24" s="319">
        <v>6.5</v>
      </c>
      <c r="W24" s="319">
        <v>5.5</v>
      </c>
      <c r="X24" s="319"/>
      <c r="Y24" s="319">
        <v>7</v>
      </c>
      <c r="Z24" s="319">
        <v>49</v>
      </c>
      <c r="AA24" s="319">
        <v>11</v>
      </c>
      <c r="AB24" s="319">
        <v>12</v>
      </c>
      <c r="AC24" s="319">
        <v>12</v>
      </c>
      <c r="AD24" s="319">
        <v>15</v>
      </c>
      <c r="AE24" s="319"/>
    </row>
    <row r="25" spans="1:31" s="316" customFormat="1" ht="9.75" customHeight="1" x14ac:dyDescent="0.2">
      <c r="A25" s="319">
        <v>48</v>
      </c>
      <c r="B25" s="319">
        <v>2.4</v>
      </c>
      <c r="C25" s="319">
        <v>2.4</v>
      </c>
      <c r="D25" s="319">
        <v>1.53</v>
      </c>
      <c r="E25" s="319">
        <v>1.65</v>
      </c>
      <c r="F25" s="319">
        <v>48</v>
      </c>
      <c r="G25" s="319">
        <v>36</v>
      </c>
      <c r="H25" s="319">
        <v>36</v>
      </c>
      <c r="I25" s="319">
        <v>36</v>
      </c>
      <c r="J25" s="319">
        <v>44</v>
      </c>
      <c r="K25" s="319">
        <v>48</v>
      </c>
      <c r="L25" s="319" t="s">
        <v>166</v>
      </c>
      <c r="M25" s="319"/>
      <c r="N25" s="319">
        <v>15</v>
      </c>
      <c r="O25" s="319"/>
      <c r="P25" s="319">
        <v>48</v>
      </c>
      <c r="Q25" s="319">
        <v>20.6</v>
      </c>
      <c r="R25" s="319">
        <v>18.600000000000001</v>
      </c>
      <c r="S25" s="319">
        <v>18.600000000000001</v>
      </c>
      <c r="T25" s="319">
        <v>15.8</v>
      </c>
      <c r="U25" s="319">
        <v>48</v>
      </c>
      <c r="V25" s="319" t="s">
        <v>166</v>
      </c>
      <c r="W25" s="319"/>
      <c r="X25" s="319">
        <v>5.75</v>
      </c>
      <c r="Y25" s="319" t="s">
        <v>166</v>
      </c>
      <c r="Z25" s="319">
        <v>48</v>
      </c>
      <c r="AA25" s="319" t="s">
        <v>166</v>
      </c>
      <c r="AB25" s="319" t="s">
        <v>166</v>
      </c>
      <c r="AC25" s="319" t="s">
        <v>166</v>
      </c>
      <c r="AD25" s="319" t="s">
        <v>166</v>
      </c>
      <c r="AE25" s="319"/>
    </row>
    <row r="26" spans="1:31" s="316" customFormat="1" ht="9.75" customHeight="1" x14ac:dyDescent="0.2">
      <c r="A26" s="319">
        <v>47</v>
      </c>
      <c r="B26" s="319">
        <v>2.2999999999999998</v>
      </c>
      <c r="C26" s="319">
        <v>2.2999999999999998</v>
      </c>
      <c r="D26" s="319">
        <v>1.52</v>
      </c>
      <c r="E26" s="319">
        <v>1.62</v>
      </c>
      <c r="F26" s="319">
        <v>47</v>
      </c>
      <c r="G26" s="319">
        <v>35</v>
      </c>
      <c r="H26" s="319">
        <v>35</v>
      </c>
      <c r="I26" s="319">
        <v>35</v>
      </c>
      <c r="J26" s="319">
        <v>43</v>
      </c>
      <c r="K26" s="319">
        <v>47</v>
      </c>
      <c r="L26" s="319">
        <v>17</v>
      </c>
      <c r="M26" s="319">
        <v>13</v>
      </c>
      <c r="N26" s="319"/>
      <c r="O26" s="319">
        <v>15</v>
      </c>
      <c r="P26" s="319">
        <v>47</v>
      </c>
      <c r="Q26" s="319">
        <v>20.8</v>
      </c>
      <c r="R26" s="319">
        <v>18.8</v>
      </c>
      <c r="S26" s="319">
        <v>18.8</v>
      </c>
      <c r="T26" s="319">
        <v>16</v>
      </c>
      <c r="U26" s="319">
        <v>47</v>
      </c>
      <c r="V26" s="319">
        <v>6.25</v>
      </c>
      <c r="W26" s="319">
        <v>5.25</v>
      </c>
      <c r="X26" s="319"/>
      <c r="Y26" s="319">
        <v>6.75</v>
      </c>
      <c r="Z26" s="319">
        <v>47</v>
      </c>
      <c r="AA26" s="319" t="s">
        <v>166</v>
      </c>
      <c r="AB26" s="319"/>
      <c r="AC26" s="319"/>
      <c r="AD26" s="319" t="s">
        <v>166</v>
      </c>
      <c r="AE26" s="319"/>
    </row>
    <row r="27" spans="1:31" s="316" customFormat="1" ht="9.75" customHeight="1" x14ac:dyDescent="0.2">
      <c r="A27" s="319">
        <v>46</v>
      </c>
      <c r="B27" s="319"/>
      <c r="C27" s="319"/>
      <c r="D27" s="319">
        <v>1.51</v>
      </c>
      <c r="E27" s="319">
        <v>1.6</v>
      </c>
      <c r="F27" s="319">
        <v>46</v>
      </c>
      <c r="G27" s="319">
        <v>34</v>
      </c>
      <c r="H27" s="319">
        <v>34</v>
      </c>
      <c r="I27" s="319">
        <v>34</v>
      </c>
      <c r="J27" s="319">
        <v>42</v>
      </c>
      <c r="K27" s="319">
        <v>46</v>
      </c>
      <c r="L27" s="319"/>
      <c r="M27" s="319"/>
      <c r="N27" s="319"/>
      <c r="O27" s="319" t="s">
        <v>166</v>
      </c>
      <c r="P27" s="319">
        <v>46</v>
      </c>
      <c r="Q27" s="319">
        <v>21</v>
      </c>
      <c r="R27" s="319">
        <v>19</v>
      </c>
      <c r="S27" s="319">
        <v>19</v>
      </c>
      <c r="T27" s="319">
        <v>16.2</v>
      </c>
      <c r="U27" s="319">
        <v>46</v>
      </c>
      <c r="V27" s="319"/>
      <c r="W27" s="319"/>
      <c r="X27" s="319">
        <v>5.5</v>
      </c>
      <c r="Y27" s="319">
        <v>6.5</v>
      </c>
      <c r="Z27" s="319">
        <v>46</v>
      </c>
      <c r="AA27" s="319">
        <v>10</v>
      </c>
      <c r="AB27" s="319">
        <v>11</v>
      </c>
      <c r="AC27" s="319">
        <v>11</v>
      </c>
      <c r="AD27" s="319">
        <v>14</v>
      </c>
      <c r="AE27" s="319"/>
    </row>
    <row r="28" spans="1:31" s="316" customFormat="1" ht="9.75" customHeight="1" x14ac:dyDescent="0.2">
      <c r="A28" s="319">
        <v>45</v>
      </c>
      <c r="B28" s="319"/>
      <c r="C28" s="319"/>
      <c r="D28" s="319">
        <v>1.5</v>
      </c>
      <c r="E28" s="319">
        <v>1.58</v>
      </c>
      <c r="F28" s="319">
        <v>45</v>
      </c>
      <c r="G28" s="319">
        <v>33</v>
      </c>
      <c r="H28" s="319">
        <v>33</v>
      </c>
      <c r="I28" s="319">
        <v>33</v>
      </c>
      <c r="J28" s="319">
        <v>41</v>
      </c>
      <c r="K28" s="319">
        <v>45</v>
      </c>
      <c r="L28" s="319"/>
      <c r="M28" s="319"/>
      <c r="N28" s="319">
        <v>14</v>
      </c>
      <c r="O28" s="319"/>
      <c r="P28" s="319">
        <v>45</v>
      </c>
      <c r="Q28" s="319">
        <v>21.5</v>
      </c>
      <c r="R28" s="319">
        <v>19.5</v>
      </c>
      <c r="S28" s="319">
        <v>19.5</v>
      </c>
      <c r="T28" s="319">
        <v>16.399999999999999</v>
      </c>
      <c r="U28" s="319">
        <v>45</v>
      </c>
      <c r="V28" s="319">
        <v>6</v>
      </c>
      <c r="W28" s="319">
        <v>5</v>
      </c>
      <c r="X28" s="319"/>
      <c r="Y28" s="319" t="s">
        <v>166</v>
      </c>
      <c r="Z28" s="319">
        <v>45</v>
      </c>
      <c r="AA28" s="319" t="s">
        <v>166</v>
      </c>
      <c r="AB28" s="319" t="s">
        <v>166</v>
      </c>
      <c r="AC28" s="319" t="s">
        <v>166</v>
      </c>
      <c r="AD28" s="319" t="s">
        <v>166</v>
      </c>
      <c r="AE28" s="319"/>
    </row>
    <row r="29" spans="1:31" s="316" customFormat="1" ht="9.75" customHeight="1" x14ac:dyDescent="0.2">
      <c r="A29" s="319">
        <v>44</v>
      </c>
      <c r="B29" s="319">
        <v>2.2000000000000002</v>
      </c>
      <c r="C29" s="319">
        <v>2.2000000000000002</v>
      </c>
      <c r="D29" s="319">
        <v>1.48</v>
      </c>
      <c r="E29" s="319">
        <v>1.55</v>
      </c>
      <c r="F29" s="319">
        <v>44</v>
      </c>
      <c r="G29" s="319">
        <v>32</v>
      </c>
      <c r="H29" s="319">
        <v>32</v>
      </c>
      <c r="I29" s="319">
        <v>32</v>
      </c>
      <c r="J29" s="319">
        <v>40</v>
      </c>
      <c r="K29" s="319">
        <v>44</v>
      </c>
      <c r="L29" s="319">
        <v>16</v>
      </c>
      <c r="M29" s="319">
        <v>12</v>
      </c>
      <c r="N29" s="319"/>
      <c r="O29" s="319">
        <v>14</v>
      </c>
      <c r="P29" s="319">
        <v>44</v>
      </c>
      <c r="Q29" s="319">
        <v>22</v>
      </c>
      <c r="R29" s="319">
        <v>20</v>
      </c>
      <c r="S29" s="319">
        <v>20</v>
      </c>
      <c r="T29" s="319">
        <v>16.600000000000001</v>
      </c>
      <c r="U29" s="319">
        <v>44</v>
      </c>
      <c r="V29" s="319"/>
      <c r="W29" s="319"/>
      <c r="X29" s="319">
        <v>5.25</v>
      </c>
      <c r="Y29" s="319">
        <v>6.25</v>
      </c>
      <c r="Z29" s="319">
        <v>44</v>
      </c>
      <c r="AA29" s="319" t="s">
        <v>166</v>
      </c>
      <c r="AB29" s="319"/>
      <c r="AC29" s="319"/>
      <c r="AD29" s="319" t="s">
        <v>166</v>
      </c>
      <c r="AE29" s="319"/>
    </row>
    <row r="30" spans="1:31" s="316" customFormat="1" ht="9.75" customHeight="1" x14ac:dyDescent="0.2">
      <c r="A30" s="319">
        <v>43</v>
      </c>
      <c r="B30" s="319">
        <v>2.1</v>
      </c>
      <c r="C30" s="319">
        <v>2.1</v>
      </c>
      <c r="D30" s="319">
        <v>1.46</v>
      </c>
      <c r="E30" s="319">
        <v>1.52</v>
      </c>
      <c r="F30" s="319">
        <v>43</v>
      </c>
      <c r="G30" s="319">
        <v>31</v>
      </c>
      <c r="H30" s="319">
        <v>31</v>
      </c>
      <c r="I30" s="319">
        <v>31</v>
      </c>
      <c r="J30" s="319">
        <v>39</v>
      </c>
      <c r="K30" s="319">
        <v>43</v>
      </c>
      <c r="L30" s="319"/>
      <c r="M30" s="319"/>
      <c r="N30" s="319"/>
      <c r="O30" s="319" t="s">
        <v>166</v>
      </c>
      <c r="P30" s="319">
        <v>43</v>
      </c>
      <c r="Q30" s="319">
        <v>22.5</v>
      </c>
      <c r="R30" s="319">
        <v>20.5</v>
      </c>
      <c r="S30" s="319">
        <v>20.5</v>
      </c>
      <c r="T30" s="319">
        <v>16.8</v>
      </c>
      <c r="U30" s="319">
        <v>43</v>
      </c>
      <c r="V30" s="319">
        <v>5.75</v>
      </c>
      <c r="W30" s="319">
        <v>4.75</v>
      </c>
      <c r="X30" s="319"/>
      <c r="Y30" s="319" t="s">
        <v>166</v>
      </c>
      <c r="Z30" s="319">
        <v>43</v>
      </c>
      <c r="AA30" s="319">
        <v>9</v>
      </c>
      <c r="AB30" s="319">
        <v>10</v>
      </c>
      <c r="AC30" s="319">
        <v>10</v>
      </c>
      <c r="AD30" s="319">
        <v>13</v>
      </c>
      <c r="AE30" s="319"/>
    </row>
    <row r="31" spans="1:31" s="316" customFormat="1" ht="9.75" customHeight="1" x14ac:dyDescent="0.2">
      <c r="A31" s="319">
        <v>42</v>
      </c>
      <c r="B31" s="319"/>
      <c r="C31" s="319"/>
      <c r="D31" s="319">
        <v>1.44</v>
      </c>
      <c r="E31" s="319">
        <v>1.5</v>
      </c>
      <c r="F31" s="319">
        <v>42</v>
      </c>
      <c r="G31" s="319">
        <v>30</v>
      </c>
      <c r="H31" s="319">
        <v>30</v>
      </c>
      <c r="I31" s="319">
        <v>30</v>
      </c>
      <c r="J31" s="319">
        <v>38</v>
      </c>
      <c r="K31" s="319">
        <v>42</v>
      </c>
      <c r="L31" s="319"/>
      <c r="M31" s="319"/>
      <c r="N31" s="319">
        <v>13</v>
      </c>
      <c r="O31" s="319"/>
      <c r="P31" s="319">
        <v>42</v>
      </c>
      <c r="Q31" s="319">
        <v>23</v>
      </c>
      <c r="R31" s="319">
        <v>21</v>
      </c>
      <c r="S31" s="319">
        <v>21</v>
      </c>
      <c r="T31" s="319">
        <v>17</v>
      </c>
      <c r="U31" s="319">
        <v>42</v>
      </c>
      <c r="V31" s="319"/>
      <c r="W31" s="319"/>
      <c r="X31" s="319">
        <v>5</v>
      </c>
      <c r="Y31" s="319">
        <v>6</v>
      </c>
      <c r="Z31" s="319">
        <v>42</v>
      </c>
      <c r="AA31" s="319" t="s">
        <v>166</v>
      </c>
      <c r="AB31" s="319" t="s">
        <v>166</v>
      </c>
      <c r="AC31" s="319" t="s">
        <v>166</v>
      </c>
      <c r="AD31" s="319" t="s">
        <v>166</v>
      </c>
      <c r="AE31" s="319"/>
    </row>
    <row r="32" spans="1:31" s="316" customFormat="1" ht="9.75" customHeight="1" x14ac:dyDescent="0.2">
      <c r="A32" s="319">
        <v>41</v>
      </c>
      <c r="B32" s="319"/>
      <c r="C32" s="319"/>
      <c r="D32" s="319">
        <v>1.43</v>
      </c>
      <c r="E32" s="319">
        <v>1.49</v>
      </c>
      <c r="F32" s="319">
        <v>41</v>
      </c>
      <c r="G32" s="319">
        <v>29</v>
      </c>
      <c r="H32" s="319">
        <v>29</v>
      </c>
      <c r="I32" s="319">
        <v>29</v>
      </c>
      <c r="J32" s="319">
        <v>37</v>
      </c>
      <c r="K32" s="319">
        <v>41</v>
      </c>
      <c r="L32" s="319">
        <v>15</v>
      </c>
      <c r="M32" s="319">
        <v>11</v>
      </c>
      <c r="N32" s="319"/>
      <c r="O32" s="319">
        <v>13</v>
      </c>
      <c r="P32" s="319">
        <v>41</v>
      </c>
      <c r="Q32" s="319">
        <v>23.5</v>
      </c>
      <c r="R32" s="319">
        <v>21.5</v>
      </c>
      <c r="S32" s="319">
        <v>21.5</v>
      </c>
      <c r="T32" s="319">
        <v>17.2</v>
      </c>
      <c r="U32" s="319">
        <v>41</v>
      </c>
      <c r="V32" s="319">
        <v>5.5</v>
      </c>
      <c r="W32" s="319">
        <v>4.5</v>
      </c>
      <c r="X32" s="319"/>
      <c r="Y32" s="319" t="s">
        <v>166</v>
      </c>
      <c r="Z32" s="319">
        <v>41</v>
      </c>
      <c r="AA32" s="319" t="s">
        <v>166</v>
      </c>
      <c r="AB32" s="319"/>
      <c r="AC32" s="319"/>
      <c r="AD32" s="319" t="s">
        <v>166</v>
      </c>
      <c r="AE32" s="319"/>
    </row>
    <row r="33" spans="1:31" s="316" customFormat="1" ht="9.75" customHeight="1" x14ac:dyDescent="0.2">
      <c r="A33" s="319">
        <v>40</v>
      </c>
      <c r="B33" s="319">
        <v>2</v>
      </c>
      <c r="C33" s="319">
        <v>2</v>
      </c>
      <c r="D33" s="319">
        <v>1.42</v>
      </c>
      <c r="E33" s="319">
        <v>1.48</v>
      </c>
      <c r="F33" s="319">
        <v>40</v>
      </c>
      <c r="G33" s="319">
        <v>28</v>
      </c>
      <c r="H33" s="319">
        <v>28</v>
      </c>
      <c r="I33" s="319">
        <v>28</v>
      </c>
      <c r="J33" s="319">
        <v>36</v>
      </c>
      <c r="K33" s="319">
        <v>40</v>
      </c>
      <c r="L33" s="319" t="s">
        <v>166</v>
      </c>
      <c r="M33" s="319"/>
      <c r="N33" s="319"/>
      <c r="O33" s="319" t="s">
        <v>166</v>
      </c>
      <c r="P33" s="319">
        <v>40</v>
      </c>
      <c r="Q33" s="319">
        <v>24</v>
      </c>
      <c r="R33" s="319">
        <v>22</v>
      </c>
      <c r="S33" s="319">
        <v>22</v>
      </c>
      <c r="T33" s="319">
        <v>17.399999999999999</v>
      </c>
      <c r="U33" s="319">
        <v>40</v>
      </c>
      <c r="V33" s="319"/>
      <c r="W33" s="319"/>
      <c r="X33" s="319">
        <v>4.75</v>
      </c>
      <c r="Y33" s="319">
        <v>5.75</v>
      </c>
      <c r="Z33" s="319">
        <v>40</v>
      </c>
      <c r="AA33" s="319">
        <v>8</v>
      </c>
      <c r="AB33" s="319">
        <v>9</v>
      </c>
      <c r="AC33" s="319">
        <v>9</v>
      </c>
      <c r="AD33" s="319">
        <v>12</v>
      </c>
      <c r="AE33" s="319"/>
    </row>
    <row r="34" spans="1:31" s="316" customFormat="1" ht="9.75" customHeight="1" x14ac:dyDescent="0.2">
      <c r="A34" s="319">
        <v>39</v>
      </c>
      <c r="B34" s="319"/>
      <c r="C34" s="319"/>
      <c r="D34" s="319">
        <v>1.41</v>
      </c>
      <c r="E34" s="319">
        <v>1.47</v>
      </c>
      <c r="F34" s="319">
        <v>39</v>
      </c>
      <c r="G34" s="319">
        <v>27</v>
      </c>
      <c r="H34" s="319">
        <v>27</v>
      </c>
      <c r="I34" s="319">
        <v>27</v>
      </c>
      <c r="J34" s="319">
        <v>35</v>
      </c>
      <c r="K34" s="319">
        <v>39</v>
      </c>
      <c r="L34" s="319"/>
      <c r="M34" s="319"/>
      <c r="N34" s="319">
        <v>12</v>
      </c>
      <c r="O34" s="319"/>
      <c r="P34" s="319">
        <v>39</v>
      </c>
      <c r="Q34" s="319">
        <v>24.5</v>
      </c>
      <c r="R34" s="319">
        <v>22.5</v>
      </c>
      <c r="S34" s="319">
        <v>22.5</v>
      </c>
      <c r="T34" s="319">
        <v>17.600000000000001</v>
      </c>
      <c r="U34" s="319">
        <v>39</v>
      </c>
      <c r="V34" s="319">
        <v>5.25</v>
      </c>
      <c r="W34" s="319">
        <v>4.25</v>
      </c>
      <c r="X34" s="319" t="s">
        <v>166</v>
      </c>
      <c r="Y34" s="319" t="s">
        <v>166</v>
      </c>
      <c r="Z34" s="319">
        <v>39</v>
      </c>
      <c r="AA34" s="319" t="s">
        <v>166</v>
      </c>
      <c r="AB34" s="319" t="s">
        <v>166</v>
      </c>
      <c r="AC34" s="319" t="s">
        <v>166</v>
      </c>
      <c r="AD34" s="319" t="s">
        <v>166</v>
      </c>
      <c r="AE34" s="319"/>
    </row>
    <row r="35" spans="1:31" s="316" customFormat="1" ht="9.75" customHeight="1" x14ac:dyDescent="0.2">
      <c r="A35" s="319">
        <v>38</v>
      </c>
      <c r="B35" s="319"/>
      <c r="C35" s="319"/>
      <c r="D35" s="319">
        <v>1.4</v>
      </c>
      <c r="E35" s="319">
        <v>1.46</v>
      </c>
      <c r="F35" s="319">
        <v>38</v>
      </c>
      <c r="G35" s="319">
        <v>26</v>
      </c>
      <c r="H35" s="319">
        <v>26</v>
      </c>
      <c r="I35" s="319">
        <v>26</v>
      </c>
      <c r="J35" s="319">
        <v>34</v>
      </c>
      <c r="K35" s="319">
        <v>38</v>
      </c>
      <c r="L35" s="319">
        <v>14</v>
      </c>
      <c r="M35" s="319"/>
      <c r="N35" s="319"/>
      <c r="O35" s="319">
        <v>12</v>
      </c>
      <c r="P35" s="319">
        <v>38</v>
      </c>
      <c r="Q35" s="319">
        <v>25</v>
      </c>
      <c r="R35" s="319">
        <v>23</v>
      </c>
      <c r="S35" s="319">
        <v>23</v>
      </c>
      <c r="T35" s="319">
        <v>17.8</v>
      </c>
      <c r="U35" s="319">
        <v>38</v>
      </c>
      <c r="V35" s="319"/>
      <c r="W35" s="319"/>
      <c r="X35" s="319">
        <v>4.5</v>
      </c>
      <c r="Y35" s="319">
        <v>5.5</v>
      </c>
      <c r="Z35" s="319">
        <v>38</v>
      </c>
      <c r="AA35" s="319" t="s">
        <v>166</v>
      </c>
      <c r="AB35" s="319"/>
      <c r="AC35" s="319"/>
      <c r="AD35" s="319" t="s">
        <v>166</v>
      </c>
      <c r="AE35" s="319"/>
    </row>
    <row r="36" spans="1:31" s="316" customFormat="1" ht="9.75" customHeight="1" x14ac:dyDescent="0.2">
      <c r="A36" s="319">
        <v>37</v>
      </c>
      <c r="B36" s="319">
        <v>1.9</v>
      </c>
      <c r="C36" s="319">
        <v>1.9</v>
      </c>
      <c r="D36" s="319">
        <v>1.35</v>
      </c>
      <c r="E36" s="319">
        <v>1.45</v>
      </c>
      <c r="F36" s="319">
        <v>37</v>
      </c>
      <c r="G36" s="319">
        <v>25</v>
      </c>
      <c r="H36" s="319">
        <v>25</v>
      </c>
      <c r="I36" s="319">
        <v>25</v>
      </c>
      <c r="J36" s="319">
        <v>33</v>
      </c>
      <c r="K36" s="319">
        <v>37</v>
      </c>
      <c r="L36" s="319" t="s">
        <v>166</v>
      </c>
      <c r="M36" s="319">
        <v>10</v>
      </c>
      <c r="N36" s="319"/>
      <c r="O36" s="319" t="s">
        <v>166</v>
      </c>
      <c r="P36" s="319">
        <v>37</v>
      </c>
      <c r="Q36" s="319">
        <v>25.5</v>
      </c>
      <c r="R36" s="319">
        <v>23.5</v>
      </c>
      <c r="S36" s="319">
        <v>23.5</v>
      </c>
      <c r="T36" s="319">
        <v>18</v>
      </c>
      <c r="U36" s="319">
        <v>37</v>
      </c>
      <c r="V36" s="319">
        <v>5</v>
      </c>
      <c r="W36" s="319">
        <v>4</v>
      </c>
      <c r="X36" s="319" t="s">
        <v>166</v>
      </c>
      <c r="Y36" s="319" t="s">
        <v>166</v>
      </c>
      <c r="Z36" s="319">
        <v>37</v>
      </c>
      <c r="AA36" s="319">
        <v>7</v>
      </c>
      <c r="AB36" s="319">
        <v>8</v>
      </c>
      <c r="AC36" s="319">
        <v>8</v>
      </c>
      <c r="AD36" s="319">
        <v>11</v>
      </c>
      <c r="AE36" s="319"/>
    </row>
    <row r="37" spans="1:31" s="316" customFormat="1" ht="9.75" customHeight="1" x14ac:dyDescent="0.2">
      <c r="A37" s="319">
        <v>36</v>
      </c>
      <c r="B37" s="319"/>
      <c r="C37" s="319"/>
      <c r="D37" s="319">
        <v>1.3</v>
      </c>
      <c r="E37" s="319">
        <v>1.44</v>
      </c>
      <c r="F37" s="319">
        <v>36</v>
      </c>
      <c r="G37" s="319">
        <v>24</v>
      </c>
      <c r="H37" s="319">
        <v>24</v>
      </c>
      <c r="I37" s="319">
        <v>24</v>
      </c>
      <c r="J37" s="319">
        <v>32</v>
      </c>
      <c r="K37" s="319">
        <v>36</v>
      </c>
      <c r="L37" s="319"/>
      <c r="M37" s="319"/>
      <c r="N37" s="319">
        <v>11</v>
      </c>
      <c r="O37" s="319"/>
      <c r="P37" s="319">
        <v>36</v>
      </c>
      <c r="Q37" s="319">
        <v>26</v>
      </c>
      <c r="R37" s="319">
        <v>24</v>
      </c>
      <c r="S37" s="319">
        <v>24</v>
      </c>
      <c r="T37" s="319">
        <v>18.2</v>
      </c>
      <c r="U37" s="319">
        <v>36</v>
      </c>
      <c r="V37" s="319"/>
      <c r="W37" s="319"/>
      <c r="X37" s="319">
        <v>4.25</v>
      </c>
      <c r="Y37" s="319">
        <v>5.25</v>
      </c>
      <c r="Z37" s="319">
        <v>36</v>
      </c>
      <c r="AA37" s="319" t="s">
        <v>166</v>
      </c>
      <c r="AB37" s="319" t="s">
        <v>166</v>
      </c>
      <c r="AC37" s="319" t="s">
        <v>166</v>
      </c>
      <c r="AD37" s="319" t="s">
        <v>166</v>
      </c>
      <c r="AE37" s="319"/>
    </row>
    <row r="38" spans="1:31" s="316" customFormat="1" ht="9.75" customHeight="1" x14ac:dyDescent="0.2">
      <c r="A38" s="319">
        <v>35</v>
      </c>
      <c r="B38" s="319"/>
      <c r="C38" s="319"/>
      <c r="D38" s="319">
        <v>1.25</v>
      </c>
      <c r="E38" s="319">
        <v>1.43</v>
      </c>
      <c r="F38" s="319">
        <v>35</v>
      </c>
      <c r="G38" s="319">
        <v>23</v>
      </c>
      <c r="H38" s="319">
        <v>23</v>
      </c>
      <c r="I38" s="319">
        <v>23</v>
      </c>
      <c r="J38" s="319">
        <v>31</v>
      </c>
      <c r="K38" s="319">
        <v>35</v>
      </c>
      <c r="L38" s="319">
        <v>13</v>
      </c>
      <c r="M38" s="319"/>
      <c r="N38" s="319"/>
      <c r="O38" s="319">
        <v>11</v>
      </c>
      <c r="P38" s="319">
        <v>35</v>
      </c>
      <c r="Q38" s="319">
        <v>26.5</v>
      </c>
      <c r="R38" s="319">
        <v>24.5</v>
      </c>
      <c r="S38" s="319">
        <v>24.5</v>
      </c>
      <c r="T38" s="319">
        <v>18.399999999999999</v>
      </c>
      <c r="U38" s="319">
        <v>35</v>
      </c>
      <c r="V38" s="319">
        <v>4.75</v>
      </c>
      <c r="W38" s="319">
        <v>3.75</v>
      </c>
      <c r="X38" s="319"/>
      <c r="Y38" s="319" t="s">
        <v>166</v>
      </c>
      <c r="Z38" s="319">
        <v>35</v>
      </c>
      <c r="AA38" s="319" t="s">
        <v>166</v>
      </c>
      <c r="AB38" s="319"/>
      <c r="AC38" s="319"/>
      <c r="AD38" s="319" t="s">
        <v>166</v>
      </c>
      <c r="AE38" s="319"/>
    </row>
    <row r="39" spans="1:31" s="316" customFormat="1" ht="9.75" customHeight="1" x14ac:dyDescent="0.2">
      <c r="A39" s="319">
        <v>34</v>
      </c>
      <c r="B39" s="319">
        <v>1.8</v>
      </c>
      <c r="C39" s="319">
        <v>1.8</v>
      </c>
      <c r="D39" s="319">
        <v>1.2</v>
      </c>
      <c r="E39" s="319">
        <v>1.42</v>
      </c>
      <c r="F39" s="319">
        <v>34</v>
      </c>
      <c r="G39" s="319">
        <v>22</v>
      </c>
      <c r="H39" s="319">
        <v>22</v>
      </c>
      <c r="I39" s="319">
        <v>22</v>
      </c>
      <c r="J39" s="319">
        <v>30</v>
      </c>
      <c r="K39" s="319">
        <v>34</v>
      </c>
      <c r="L39" s="319" t="s">
        <v>166</v>
      </c>
      <c r="M39" s="319"/>
      <c r="N39" s="319"/>
      <c r="O39" s="319" t="s">
        <v>166</v>
      </c>
      <c r="P39" s="319">
        <v>34</v>
      </c>
      <c r="Q39" s="319">
        <v>27</v>
      </c>
      <c r="R39" s="319">
        <v>25</v>
      </c>
      <c r="S39" s="319">
        <v>25</v>
      </c>
      <c r="T39" s="319">
        <v>18.600000000000001</v>
      </c>
      <c r="U39" s="319">
        <v>34</v>
      </c>
      <c r="V39" s="319" t="s">
        <v>166</v>
      </c>
      <c r="W39" s="319"/>
      <c r="X39" s="319">
        <v>4</v>
      </c>
      <c r="Y39" s="319" t="s">
        <v>166</v>
      </c>
      <c r="Z39" s="319">
        <v>34</v>
      </c>
      <c r="AA39" s="319">
        <v>6</v>
      </c>
      <c r="AB39" s="319">
        <v>7</v>
      </c>
      <c r="AC39" s="319">
        <v>7</v>
      </c>
      <c r="AD39" s="319">
        <v>10</v>
      </c>
      <c r="AE39" s="319"/>
    </row>
    <row r="40" spans="1:31" s="316" customFormat="1" ht="9.75" customHeight="1" x14ac:dyDescent="0.2">
      <c r="A40" s="319">
        <v>33</v>
      </c>
      <c r="B40" s="319"/>
      <c r="C40" s="319"/>
      <c r="D40" s="319">
        <v>1.1499999999999999</v>
      </c>
      <c r="E40" s="319">
        <v>1.41</v>
      </c>
      <c r="F40" s="319">
        <v>33</v>
      </c>
      <c r="G40" s="319">
        <v>21</v>
      </c>
      <c r="H40" s="319">
        <v>21</v>
      </c>
      <c r="I40" s="319">
        <v>21</v>
      </c>
      <c r="J40" s="319">
        <v>29</v>
      </c>
      <c r="K40" s="319">
        <v>33</v>
      </c>
      <c r="L40" s="319"/>
      <c r="M40" s="319">
        <v>9</v>
      </c>
      <c r="N40" s="319">
        <v>10</v>
      </c>
      <c r="O40" s="319"/>
      <c r="P40" s="319">
        <v>33</v>
      </c>
      <c r="Q40" s="319">
        <v>27.5</v>
      </c>
      <c r="R40" s="319">
        <v>25.5</v>
      </c>
      <c r="S40" s="319">
        <v>25.5</v>
      </c>
      <c r="T40" s="319">
        <v>18.8</v>
      </c>
      <c r="U40" s="319">
        <v>33</v>
      </c>
      <c r="V40" s="319">
        <v>4.5</v>
      </c>
      <c r="W40" s="319">
        <v>3.5</v>
      </c>
      <c r="X40" s="319"/>
      <c r="Y40" s="319">
        <v>5</v>
      </c>
      <c r="Z40" s="319">
        <v>33</v>
      </c>
      <c r="AA40" s="319" t="s">
        <v>166</v>
      </c>
      <c r="AB40" s="319" t="s">
        <v>166</v>
      </c>
      <c r="AC40" s="319" t="s">
        <v>166</v>
      </c>
      <c r="AD40" s="319" t="s">
        <v>166</v>
      </c>
      <c r="AE40" s="319"/>
    </row>
    <row r="41" spans="1:31" s="316" customFormat="1" ht="9.75" customHeight="1" x14ac:dyDescent="0.2">
      <c r="A41" s="319">
        <v>32</v>
      </c>
      <c r="B41" s="319"/>
      <c r="C41" s="319"/>
      <c r="D41" s="319">
        <v>1.1000000000000001</v>
      </c>
      <c r="E41" s="319">
        <v>1.4</v>
      </c>
      <c r="F41" s="319">
        <v>32</v>
      </c>
      <c r="G41" s="319">
        <v>20</v>
      </c>
      <c r="H41" s="319">
        <v>20</v>
      </c>
      <c r="I41" s="319">
        <v>20</v>
      </c>
      <c r="J41" s="319">
        <v>28</v>
      </c>
      <c r="K41" s="319">
        <v>32</v>
      </c>
      <c r="L41" s="319">
        <v>12</v>
      </c>
      <c r="M41" s="319"/>
      <c r="N41" s="319"/>
      <c r="O41" s="319">
        <v>10</v>
      </c>
      <c r="P41" s="319">
        <v>32</v>
      </c>
      <c r="Q41" s="319">
        <v>28</v>
      </c>
      <c r="R41" s="319">
        <v>26</v>
      </c>
      <c r="S41" s="319">
        <v>26</v>
      </c>
      <c r="T41" s="319">
        <v>19</v>
      </c>
      <c r="U41" s="319">
        <v>32</v>
      </c>
      <c r="V41" s="319" t="s">
        <v>166</v>
      </c>
      <c r="W41" s="319" t="s">
        <v>166</v>
      </c>
      <c r="X41" s="319">
        <v>3.75</v>
      </c>
      <c r="Y41" s="319" t="s">
        <v>166</v>
      </c>
      <c r="Z41" s="319">
        <v>32</v>
      </c>
      <c r="AA41" s="319" t="s">
        <v>166</v>
      </c>
      <c r="AB41" s="319"/>
      <c r="AC41" s="319"/>
      <c r="AD41" s="319" t="s">
        <v>166</v>
      </c>
      <c r="AE41" s="319"/>
    </row>
    <row r="42" spans="1:31" s="316" customFormat="1" ht="9.75" customHeight="1" x14ac:dyDescent="0.2">
      <c r="A42" s="319">
        <v>31</v>
      </c>
      <c r="B42" s="319">
        <v>1.7</v>
      </c>
      <c r="C42" s="319">
        <v>1.7</v>
      </c>
      <c r="D42" s="319">
        <v>1.05</v>
      </c>
      <c r="E42" s="319">
        <v>1.35</v>
      </c>
      <c r="F42" s="319">
        <v>31</v>
      </c>
      <c r="G42" s="319">
        <v>19</v>
      </c>
      <c r="H42" s="319">
        <v>19</v>
      </c>
      <c r="I42" s="319">
        <v>19</v>
      </c>
      <c r="J42" s="319">
        <v>27</v>
      </c>
      <c r="K42" s="319">
        <v>31</v>
      </c>
      <c r="L42" s="319" t="s">
        <v>166</v>
      </c>
      <c r="M42" s="319"/>
      <c r="N42" s="319"/>
      <c r="O42" s="319" t="s">
        <v>166</v>
      </c>
      <c r="P42" s="319">
        <v>31</v>
      </c>
      <c r="Q42" s="319">
        <v>28.5</v>
      </c>
      <c r="R42" s="319">
        <v>26.5</v>
      </c>
      <c r="S42" s="319">
        <v>26.5</v>
      </c>
      <c r="T42" s="319">
        <v>19.2</v>
      </c>
      <c r="U42" s="319">
        <v>31</v>
      </c>
      <c r="V42" s="319">
        <v>4.25</v>
      </c>
      <c r="W42" s="319">
        <v>3.25</v>
      </c>
      <c r="X42" s="319"/>
      <c r="Y42" s="319">
        <v>4.75</v>
      </c>
      <c r="Z42" s="319">
        <v>31</v>
      </c>
      <c r="AA42" s="319">
        <v>5</v>
      </c>
      <c r="AB42" s="319">
        <v>6</v>
      </c>
      <c r="AC42" s="319">
        <v>6</v>
      </c>
      <c r="AD42" s="319">
        <v>9</v>
      </c>
      <c r="AE42" s="319"/>
    </row>
    <row r="43" spans="1:31" s="316" customFormat="1" ht="9.75" customHeight="1" x14ac:dyDescent="0.2">
      <c r="A43" s="319">
        <v>30</v>
      </c>
      <c r="B43" s="319"/>
      <c r="C43" s="319"/>
      <c r="D43" s="319">
        <v>1</v>
      </c>
      <c r="E43" s="319">
        <v>1.3</v>
      </c>
      <c r="F43" s="319">
        <v>30</v>
      </c>
      <c r="G43" s="319">
        <v>18</v>
      </c>
      <c r="H43" s="319">
        <v>18</v>
      </c>
      <c r="I43" s="319">
        <v>18</v>
      </c>
      <c r="J43" s="319">
        <v>26</v>
      </c>
      <c r="K43" s="319">
        <v>30</v>
      </c>
      <c r="L43" s="319"/>
      <c r="M43" s="319"/>
      <c r="N43" s="319">
        <v>9</v>
      </c>
      <c r="O43" s="319"/>
      <c r="P43" s="319">
        <v>30</v>
      </c>
      <c r="Q43" s="319">
        <v>29</v>
      </c>
      <c r="R43" s="319">
        <v>27</v>
      </c>
      <c r="S43" s="319">
        <v>27</v>
      </c>
      <c r="T43" s="319">
        <v>19.399999999999999</v>
      </c>
      <c r="U43" s="319">
        <v>30</v>
      </c>
      <c r="V43" s="319" t="s">
        <v>166</v>
      </c>
      <c r="W43" s="319"/>
      <c r="X43" s="319">
        <v>3.5</v>
      </c>
      <c r="Y43" s="319" t="s">
        <v>166</v>
      </c>
      <c r="Z43" s="319">
        <v>30</v>
      </c>
      <c r="AA43" s="319" t="s">
        <v>166</v>
      </c>
      <c r="AB43" s="319" t="s">
        <v>166</v>
      </c>
      <c r="AC43" s="319" t="s">
        <v>166</v>
      </c>
      <c r="AD43" s="319" t="s">
        <v>166</v>
      </c>
      <c r="AE43" s="319"/>
    </row>
    <row r="44" spans="1:31" s="316" customFormat="1" ht="9.75" customHeight="1" x14ac:dyDescent="0.2">
      <c r="A44" s="319">
        <v>29</v>
      </c>
      <c r="B44" s="319"/>
      <c r="C44" s="319"/>
      <c r="D44" s="319">
        <v>0.98</v>
      </c>
      <c r="E44" s="319">
        <v>1.25</v>
      </c>
      <c r="F44" s="319">
        <v>29</v>
      </c>
      <c r="G44" s="319"/>
      <c r="H44" s="319"/>
      <c r="I44" s="319"/>
      <c r="J44" s="319">
        <v>25</v>
      </c>
      <c r="K44" s="319">
        <v>29</v>
      </c>
      <c r="L44" s="319">
        <v>11</v>
      </c>
      <c r="M44" s="319">
        <v>8</v>
      </c>
      <c r="N44" s="319"/>
      <c r="O44" s="319"/>
      <c r="P44" s="319">
        <v>29</v>
      </c>
      <c r="Q44" s="319">
        <v>29.5</v>
      </c>
      <c r="R44" s="319">
        <v>27.5</v>
      </c>
      <c r="S44" s="319">
        <v>27.5</v>
      </c>
      <c r="T44" s="319">
        <v>19.600000000000001</v>
      </c>
      <c r="U44" s="319">
        <v>29</v>
      </c>
      <c r="V44" s="319">
        <v>4</v>
      </c>
      <c r="W44" s="319">
        <v>3</v>
      </c>
      <c r="X44" s="319" t="s">
        <v>166</v>
      </c>
      <c r="Y44" s="319" t="s">
        <v>166</v>
      </c>
      <c r="Z44" s="319">
        <v>29</v>
      </c>
      <c r="AA44" s="319" t="s">
        <v>166</v>
      </c>
      <c r="AB44" s="319"/>
      <c r="AC44" s="319"/>
      <c r="AD44" s="319" t="s">
        <v>166</v>
      </c>
      <c r="AE44" s="319"/>
    </row>
    <row r="45" spans="1:31" s="316" customFormat="1" ht="9.75" customHeight="1" x14ac:dyDescent="0.2">
      <c r="A45" s="319">
        <v>28</v>
      </c>
      <c r="B45" s="319">
        <v>1.6</v>
      </c>
      <c r="C45" s="319">
        <v>1.6</v>
      </c>
      <c r="D45" s="319">
        <v>0.96</v>
      </c>
      <c r="E45" s="319">
        <v>1.2</v>
      </c>
      <c r="F45" s="319">
        <v>28</v>
      </c>
      <c r="G45" s="319">
        <v>17</v>
      </c>
      <c r="H45" s="319">
        <v>17</v>
      </c>
      <c r="I45" s="319">
        <v>17</v>
      </c>
      <c r="J45" s="319">
        <v>24</v>
      </c>
      <c r="K45" s="319">
        <v>28</v>
      </c>
      <c r="L45" s="319"/>
      <c r="M45" s="319"/>
      <c r="N45" s="319"/>
      <c r="O45" s="319">
        <v>9</v>
      </c>
      <c r="P45" s="319">
        <v>28</v>
      </c>
      <c r="Q45" s="319">
        <v>30</v>
      </c>
      <c r="R45" s="319">
        <v>28</v>
      </c>
      <c r="S45" s="319">
        <v>28</v>
      </c>
      <c r="T45" s="319">
        <v>19.8</v>
      </c>
      <c r="U45" s="319">
        <v>28</v>
      </c>
      <c r="V45" s="319"/>
      <c r="W45" s="319"/>
      <c r="X45" s="319">
        <v>3.25</v>
      </c>
      <c r="Y45" s="319">
        <v>4.5</v>
      </c>
      <c r="Z45" s="319">
        <v>28</v>
      </c>
      <c r="AA45" s="319">
        <v>4</v>
      </c>
      <c r="AB45" s="319">
        <v>5</v>
      </c>
      <c r="AC45" s="319">
        <v>5</v>
      </c>
      <c r="AD45" s="319">
        <v>8</v>
      </c>
      <c r="AE45" s="319"/>
    </row>
    <row r="46" spans="1:31" s="316" customFormat="1" ht="9.75" customHeight="1" x14ac:dyDescent="0.2">
      <c r="A46" s="319">
        <v>27</v>
      </c>
      <c r="B46" s="319"/>
      <c r="C46" s="319"/>
      <c r="D46" s="319">
        <v>0.94</v>
      </c>
      <c r="E46" s="319">
        <v>1.18</v>
      </c>
      <c r="F46" s="319">
        <v>27</v>
      </c>
      <c r="G46" s="319"/>
      <c r="H46" s="319"/>
      <c r="I46" s="319"/>
      <c r="J46" s="319">
        <v>23</v>
      </c>
      <c r="K46" s="319">
        <v>27</v>
      </c>
      <c r="L46" s="319"/>
      <c r="M46" s="319"/>
      <c r="N46" s="319">
        <v>8</v>
      </c>
      <c r="O46" s="319"/>
      <c r="P46" s="319">
        <v>27</v>
      </c>
      <c r="Q46" s="319">
        <v>30.5</v>
      </c>
      <c r="R46" s="319">
        <v>28.5</v>
      </c>
      <c r="S46" s="319">
        <v>28.5</v>
      </c>
      <c r="T46" s="319">
        <v>20</v>
      </c>
      <c r="U46" s="319">
        <v>27</v>
      </c>
      <c r="V46" s="319">
        <v>3.75</v>
      </c>
      <c r="W46" s="319"/>
      <c r="X46" s="319"/>
      <c r="Y46" s="319" t="s">
        <v>166</v>
      </c>
      <c r="Z46" s="319">
        <v>27</v>
      </c>
      <c r="AA46" s="319"/>
      <c r="AB46" s="319" t="s">
        <v>166</v>
      </c>
      <c r="AC46" s="319" t="s">
        <v>166</v>
      </c>
      <c r="AD46" s="319"/>
      <c r="AE46" s="319"/>
    </row>
    <row r="47" spans="1:31" s="316" customFormat="1" ht="9.75" customHeight="1" x14ac:dyDescent="0.2">
      <c r="A47" s="319">
        <v>26</v>
      </c>
      <c r="B47" s="319"/>
      <c r="C47" s="319"/>
      <c r="D47" s="319">
        <v>0.92</v>
      </c>
      <c r="E47" s="319">
        <v>1.1599999999999999</v>
      </c>
      <c r="F47" s="319">
        <v>26</v>
      </c>
      <c r="G47" s="319">
        <v>16</v>
      </c>
      <c r="H47" s="319">
        <v>16</v>
      </c>
      <c r="I47" s="319">
        <v>16</v>
      </c>
      <c r="J47" s="319">
        <v>22</v>
      </c>
      <c r="K47" s="319">
        <v>26</v>
      </c>
      <c r="L47" s="319">
        <v>10</v>
      </c>
      <c r="M47" s="319"/>
      <c r="N47" s="319"/>
      <c r="O47" s="319"/>
      <c r="P47" s="319">
        <v>26</v>
      </c>
      <c r="Q47" s="319">
        <v>31</v>
      </c>
      <c r="R47" s="319">
        <v>29</v>
      </c>
      <c r="S47" s="319">
        <v>29</v>
      </c>
      <c r="T47" s="319">
        <v>20.5</v>
      </c>
      <c r="U47" s="319">
        <v>26</v>
      </c>
      <c r="V47" s="319"/>
      <c r="W47" s="319">
        <v>2.75</v>
      </c>
      <c r="X47" s="319">
        <v>3</v>
      </c>
      <c r="Y47" s="319" t="s">
        <v>166</v>
      </c>
      <c r="Z47" s="319">
        <v>26</v>
      </c>
      <c r="AA47" s="319" t="s">
        <v>166</v>
      </c>
      <c r="AB47" s="319"/>
      <c r="AC47" s="319"/>
      <c r="AD47" s="319"/>
      <c r="AE47" s="319"/>
    </row>
    <row r="48" spans="1:31" s="316" customFormat="1" ht="9.75" customHeight="1" x14ac:dyDescent="0.2">
      <c r="A48" s="319">
        <v>25</v>
      </c>
      <c r="B48" s="319">
        <v>1.5</v>
      </c>
      <c r="C48" s="319">
        <v>1.5</v>
      </c>
      <c r="D48" s="319">
        <v>0.9</v>
      </c>
      <c r="E48" s="319">
        <v>1.1399999999999999</v>
      </c>
      <c r="F48" s="319">
        <v>25</v>
      </c>
      <c r="G48" s="319"/>
      <c r="H48" s="319"/>
      <c r="I48" s="319"/>
      <c r="J48" s="319">
        <v>21</v>
      </c>
      <c r="K48" s="319">
        <v>25</v>
      </c>
      <c r="L48" s="319"/>
      <c r="M48" s="319">
        <v>7</v>
      </c>
      <c r="N48" s="319"/>
      <c r="O48" s="319"/>
      <c r="P48" s="319">
        <v>25</v>
      </c>
      <c r="Q48" s="319">
        <v>32</v>
      </c>
      <c r="R48" s="319">
        <v>30</v>
      </c>
      <c r="S48" s="319">
        <v>30</v>
      </c>
      <c r="T48" s="319">
        <v>21</v>
      </c>
      <c r="U48" s="319">
        <v>25</v>
      </c>
      <c r="V48" s="319">
        <v>3.5</v>
      </c>
      <c r="W48" s="319" t="s">
        <v>166</v>
      </c>
      <c r="X48" s="319"/>
      <c r="Y48" s="319">
        <v>4.25</v>
      </c>
      <c r="Z48" s="319">
        <v>25</v>
      </c>
      <c r="AA48" s="319" t="s">
        <v>166</v>
      </c>
      <c r="AB48" s="319">
        <v>4</v>
      </c>
      <c r="AC48" s="319" t="s">
        <v>166</v>
      </c>
      <c r="AD48" s="319"/>
      <c r="AE48" s="319"/>
    </row>
    <row r="49" spans="1:31" s="316" customFormat="1" ht="9.75" customHeight="1" x14ac:dyDescent="0.2">
      <c r="A49" s="319">
        <v>24</v>
      </c>
      <c r="B49" s="319"/>
      <c r="C49" s="319"/>
      <c r="D49" s="319">
        <v>0.88</v>
      </c>
      <c r="E49" s="319">
        <v>1.1200000000000001</v>
      </c>
      <c r="F49" s="319">
        <v>24</v>
      </c>
      <c r="G49" s="319">
        <v>15</v>
      </c>
      <c r="H49" s="319">
        <v>15</v>
      </c>
      <c r="I49" s="319">
        <v>15</v>
      </c>
      <c r="J49" s="319">
        <v>20</v>
      </c>
      <c r="K49" s="319">
        <v>24</v>
      </c>
      <c r="L49" s="319"/>
      <c r="M49" s="319"/>
      <c r="N49" s="319">
        <v>7</v>
      </c>
      <c r="O49" s="319">
        <v>8</v>
      </c>
      <c r="P49" s="319">
        <v>24</v>
      </c>
      <c r="Q49" s="319">
        <v>33</v>
      </c>
      <c r="R49" s="319">
        <v>31</v>
      </c>
      <c r="S49" s="319">
        <v>31</v>
      </c>
      <c r="T49" s="319">
        <v>21.5</v>
      </c>
      <c r="U49" s="319">
        <v>24</v>
      </c>
      <c r="V49" s="319" t="s">
        <v>166</v>
      </c>
      <c r="W49" s="319"/>
      <c r="X49" s="319"/>
      <c r="Y49" s="319" t="s">
        <v>166</v>
      </c>
      <c r="Z49" s="319">
        <v>24</v>
      </c>
      <c r="AA49" s="319" t="s">
        <v>166</v>
      </c>
      <c r="AB49" s="319"/>
      <c r="AC49" s="319">
        <v>4</v>
      </c>
      <c r="AD49" s="319">
        <v>7</v>
      </c>
      <c r="AE49" s="319"/>
    </row>
    <row r="50" spans="1:31" s="316" customFormat="1" ht="9.75" customHeight="1" x14ac:dyDescent="0.2">
      <c r="A50" s="319">
        <v>23</v>
      </c>
      <c r="B50" s="319">
        <v>1.4</v>
      </c>
      <c r="C50" s="319">
        <v>1.4</v>
      </c>
      <c r="D50" s="319">
        <v>0.86</v>
      </c>
      <c r="E50" s="319">
        <v>1.1000000000000001</v>
      </c>
      <c r="F50" s="319">
        <v>23</v>
      </c>
      <c r="G50" s="319"/>
      <c r="H50" s="319"/>
      <c r="I50" s="319"/>
      <c r="J50" s="319"/>
      <c r="K50" s="319">
        <v>23</v>
      </c>
      <c r="L50" s="319">
        <v>9</v>
      </c>
      <c r="M50" s="319"/>
      <c r="N50" s="319"/>
      <c r="O50" s="319"/>
      <c r="P50" s="319">
        <v>23</v>
      </c>
      <c r="Q50" s="319">
        <v>34</v>
      </c>
      <c r="R50" s="319">
        <v>32</v>
      </c>
      <c r="S50" s="319">
        <v>32</v>
      </c>
      <c r="T50" s="319">
        <v>22</v>
      </c>
      <c r="U50" s="319">
        <v>23</v>
      </c>
      <c r="V50" s="319">
        <v>3.25</v>
      </c>
      <c r="W50" s="319">
        <v>2.5</v>
      </c>
      <c r="X50" s="319">
        <v>2.75</v>
      </c>
      <c r="Y50" s="319" t="s">
        <v>166</v>
      </c>
      <c r="Z50" s="319">
        <v>23</v>
      </c>
      <c r="AA50" s="319"/>
      <c r="AB50" s="319"/>
      <c r="AC50" s="319"/>
      <c r="AD50" s="319" t="s">
        <v>166</v>
      </c>
      <c r="AE50" s="319"/>
    </row>
    <row r="51" spans="1:31" s="316" customFormat="1" ht="9.75" customHeight="1" x14ac:dyDescent="0.2">
      <c r="A51" s="319">
        <v>22</v>
      </c>
      <c r="B51" s="319"/>
      <c r="C51" s="319"/>
      <c r="D51" s="319">
        <v>0.84</v>
      </c>
      <c r="E51" s="319">
        <v>1.08</v>
      </c>
      <c r="F51" s="319">
        <v>22</v>
      </c>
      <c r="G51" s="319">
        <v>14</v>
      </c>
      <c r="H51" s="319">
        <v>14</v>
      </c>
      <c r="I51" s="319">
        <v>14</v>
      </c>
      <c r="J51" s="319">
        <v>19</v>
      </c>
      <c r="K51" s="319">
        <v>22</v>
      </c>
      <c r="L51" s="319"/>
      <c r="M51" s="319"/>
      <c r="N51" s="319"/>
      <c r="O51" s="319"/>
      <c r="P51" s="319">
        <v>22</v>
      </c>
      <c r="Q51" s="319">
        <v>35</v>
      </c>
      <c r="R51" s="319">
        <v>33</v>
      </c>
      <c r="S51" s="319">
        <v>33</v>
      </c>
      <c r="T51" s="319">
        <v>22.5</v>
      </c>
      <c r="U51" s="319">
        <v>22</v>
      </c>
      <c r="V51" s="319"/>
      <c r="W51" s="319" t="s">
        <v>166</v>
      </c>
      <c r="X51" s="319" t="s">
        <v>166</v>
      </c>
      <c r="Y51" s="319">
        <v>4</v>
      </c>
      <c r="Z51" s="319">
        <v>22</v>
      </c>
      <c r="AA51" s="319" t="s">
        <v>166</v>
      </c>
      <c r="AB51" s="319"/>
      <c r="AC51" s="319"/>
      <c r="AD51" s="319"/>
      <c r="AE51" s="319"/>
    </row>
    <row r="52" spans="1:31" s="316" customFormat="1" ht="9.75" customHeight="1" x14ac:dyDescent="0.2">
      <c r="A52" s="319">
        <v>21</v>
      </c>
      <c r="B52" s="319">
        <v>1.3</v>
      </c>
      <c r="C52" s="319">
        <v>1.3</v>
      </c>
      <c r="D52" s="319">
        <v>0.82</v>
      </c>
      <c r="E52" s="319">
        <v>1.06</v>
      </c>
      <c r="F52" s="319">
        <v>21</v>
      </c>
      <c r="G52" s="319"/>
      <c r="H52" s="319"/>
      <c r="I52" s="319"/>
      <c r="J52" s="319"/>
      <c r="K52" s="319">
        <v>21</v>
      </c>
      <c r="L52" s="319"/>
      <c r="M52" s="319">
        <v>6</v>
      </c>
      <c r="N52" s="319">
        <v>6</v>
      </c>
      <c r="O52" s="319">
        <v>7</v>
      </c>
      <c r="P52" s="319">
        <v>21</v>
      </c>
      <c r="Q52" s="319">
        <v>36</v>
      </c>
      <c r="R52" s="319">
        <v>34</v>
      </c>
      <c r="S52" s="319">
        <v>34</v>
      </c>
      <c r="T52" s="319">
        <v>23</v>
      </c>
      <c r="U52" s="319">
        <v>21</v>
      </c>
      <c r="V52" s="319">
        <v>3</v>
      </c>
      <c r="W52" s="319"/>
      <c r="X52" s="319"/>
      <c r="Y52" s="319" t="s">
        <v>166</v>
      </c>
      <c r="Z52" s="319">
        <v>21</v>
      </c>
      <c r="AA52" s="319">
        <v>3</v>
      </c>
      <c r="AB52" s="319"/>
      <c r="AC52" s="319"/>
      <c r="AD52" s="319" t="s">
        <v>166</v>
      </c>
      <c r="AE52" s="319"/>
    </row>
    <row r="53" spans="1:31" s="316" customFormat="1" ht="9.75" customHeight="1" x14ac:dyDescent="0.2">
      <c r="A53" s="319">
        <v>20</v>
      </c>
      <c r="B53" s="319"/>
      <c r="C53" s="319"/>
      <c r="D53" s="319">
        <v>0.8</v>
      </c>
      <c r="E53" s="319">
        <v>1.04</v>
      </c>
      <c r="F53" s="319">
        <v>20</v>
      </c>
      <c r="G53" s="319">
        <v>13</v>
      </c>
      <c r="H53" s="319">
        <v>13</v>
      </c>
      <c r="I53" s="319">
        <v>13</v>
      </c>
      <c r="J53" s="319">
        <v>18</v>
      </c>
      <c r="K53" s="319">
        <v>20</v>
      </c>
      <c r="L53" s="319">
        <v>8</v>
      </c>
      <c r="M53" s="319"/>
      <c r="N53" s="319"/>
      <c r="O53" s="319" t="s">
        <v>166</v>
      </c>
      <c r="P53" s="319">
        <v>20</v>
      </c>
      <c r="Q53" s="319">
        <v>37</v>
      </c>
      <c r="R53" s="319">
        <v>35</v>
      </c>
      <c r="S53" s="319">
        <v>35</v>
      </c>
      <c r="T53" s="319">
        <v>24</v>
      </c>
      <c r="U53" s="319">
        <v>20</v>
      </c>
      <c r="V53" s="319"/>
      <c r="W53" s="319">
        <v>2.25</v>
      </c>
      <c r="X53" s="319">
        <v>2.5</v>
      </c>
      <c r="Y53" s="319" t="s">
        <v>166</v>
      </c>
      <c r="Z53" s="319">
        <v>20</v>
      </c>
      <c r="AA53" s="319" t="s">
        <v>166</v>
      </c>
      <c r="AB53" s="319"/>
      <c r="AC53" s="319"/>
      <c r="AD53" s="319">
        <v>6</v>
      </c>
      <c r="AE53" s="319"/>
    </row>
    <row r="54" spans="1:31" s="316" customFormat="1" ht="9.75" customHeight="1" x14ac:dyDescent="0.2">
      <c r="A54" s="319">
        <v>19</v>
      </c>
      <c r="B54" s="319">
        <v>1.2</v>
      </c>
      <c r="C54" s="319">
        <v>1.2</v>
      </c>
      <c r="D54" s="319">
        <v>0.75</v>
      </c>
      <c r="E54" s="319">
        <v>1.02</v>
      </c>
      <c r="F54" s="319">
        <v>19</v>
      </c>
      <c r="G54" s="319"/>
      <c r="H54" s="319"/>
      <c r="I54" s="319"/>
      <c r="J54" s="319"/>
      <c r="K54" s="319">
        <v>19</v>
      </c>
      <c r="L54" s="319" t="s">
        <v>166</v>
      </c>
      <c r="M54" s="319"/>
      <c r="N54" s="319"/>
      <c r="O54" s="319" t="s">
        <v>166</v>
      </c>
      <c r="P54" s="319">
        <v>19</v>
      </c>
      <c r="Q54" s="319">
        <v>38</v>
      </c>
      <c r="R54" s="319">
        <v>36</v>
      </c>
      <c r="S54" s="319">
        <v>36</v>
      </c>
      <c r="T54" s="319">
        <v>25</v>
      </c>
      <c r="U54" s="319">
        <v>19</v>
      </c>
      <c r="V54" s="319"/>
      <c r="W54" s="319" t="s">
        <v>166</v>
      </c>
      <c r="X54" s="319" t="s">
        <v>166</v>
      </c>
      <c r="Y54" s="319">
        <v>3.75</v>
      </c>
      <c r="Z54" s="319">
        <v>19</v>
      </c>
      <c r="AA54" s="319"/>
      <c r="AB54" s="319" t="s">
        <v>166</v>
      </c>
      <c r="AC54" s="319" t="s">
        <v>166</v>
      </c>
      <c r="AD54" s="319"/>
      <c r="AE54" s="319"/>
    </row>
    <row r="55" spans="1:31" s="316" customFormat="1" ht="9.75" customHeight="1" x14ac:dyDescent="0.2">
      <c r="A55" s="319">
        <v>18</v>
      </c>
      <c r="B55" s="319"/>
      <c r="C55" s="319"/>
      <c r="D55" s="319">
        <v>0.7</v>
      </c>
      <c r="E55" s="319">
        <v>1</v>
      </c>
      <c r="F55" s="319">
        <v>18</v>
      </c>
      <c r="G55" s="319">
        <v>12</v>
      </c>
      <c r="H55" s="319">
        <v>12</v>
      </c>
      <c r="I55" s="319">
        <v>12</v>
      </c>
      <c r="J55" s="319">
        <v>17</v>
      </c>
      <c r="K55" s="319">
        <v>18</v>
      </c>
      <c r="L55" s="319">
        <v>7</v>
      </c>
      <c r="M55" s="319"/>
      <c r="N55" s="319"/>
      <c r="O55" s="319">
        <v>6</v>
      </c>
      <c r="P55" s="319">
        <v>18</v>
      </c>
      <c r="Q55" s="319">
        <v>39</v>
      </c>
      <c r="R55" s="319">
        <v>37</v>
      </c>
      <c r="S55" s="319">
        <v>37</v>
      </c>
      <c r="T55" s="319">
        <v>26</v>
      </c>
      <c r="U55" s="319">
        <v>18</v>
      </c>
      <c r="V55" s="319">
        <v>2.75</v>
      </c>
      <c r="W55" s="319"/>
      <c r="X55" s="319"/>
      <c r="Y55" s="319" t="s">
        <v>166</v>
      </c>
      <c r="Z55" s="319">
        <v>18</v>
      </c>
      <c r="AA55" s="319" t="s">
        <v>166</v>
      </c>
      <c r="AB55" s="319">
        <v>3</v>
      </c>
      <c r="AC55" s="319" t="s">
        <v>166</v>
      </c>
      <c r="AD55" s="319" t="s">
        <v>166</v>
      </c>
      <c r="AE55" s="319"/>
    </row>
    <row r="56" spans="1:31" s="316" customFormat="1" ht="9.75" customHeight="1" x14ac:dyDescent="0.2">
      <c r="A56" s="319">
        <v>17</v>
      </c>
      <c r="B56" s="319">
        <v>1.1000000000000001</v>
      </c>
      <c r="C56" s="319">
        <v>1.1000000000000001</v>
      </c>
      <c r="D56" s="319">
        <v>0.65</v>
      </c>
      <c r="E56" s="319">
        <v>0.95</v>
      </c>
      <c r="F56" s="319">
        <v>17</v>
      </c>
      <c r="G56" s="319"/>
      <c r="H56" s="319"/>
      <c r="I56" s="319"/>
      <c r="J56" s="319"/>
      <c r="K56" s="319">
        <v>17</v>
      </c>
      <c r="L56" s="319"/>
      <c r="M56" s="319">
        <v>5</v>
      </c>
      <c r="N56" s="319">
        <v>5</v>
      </c>
      <c r="O56" s="319"/>
      <c r="P56" s="319">
        <v>17</v>
      </c>
      <c r="Q56" s="319">
        <v>40</v>
      </c>
      <c r="R56" s="319">
        <v>38</v>
      </c>
      <c r="S56" s="319">
        <v>38</v>
      </c>
      <c r="T56" s="319">
        <v>27</v>
      </c>
      <c r="U56" s="319">
        <v>17</v>
      </c>
      <c r="V56" s="319" t="s">
        <v>166</v>
      </c>
      <c r="W56" s="319">
        <v>2</v>
      </c>
      <c r="X56" s="319">
        <v>2.25</v>
      </c>
      <c r="Y56" s="319" t="s">
        <v>166</v>
      </c>
      <c r="Z56" s="319">
        <v>17</v>
      </c>
      <c r="AA56" s="319" t="s">
        <v>166</v>
      </c>
      <c r="AB56" s="319"/>
      <c r="AC56" s="319">
        <v>3</v>
      </c>
      <c r="AD56" s="319" t="s">
        <v>166</v>
      </c>
      <c r="AE56" s="319"/>
    </row>
    <row r="57" spans="1:31" s="316" customFormat="1" ht="9.75" customHeight="1" x14ac:dyDescent="0.2">
      <c r="A57" s="319">
        <v>16</v>
      </c>
      <c r="B57" s="319"/>
      <c r="C57" s="319"/>
      <c r="D57" s="319">
        <v>0.6</v>
      </c>
      <c r="E57" s="319">
        <v>0.9</v>
      </c>
      <c r="F57" s="319">
        <v>16</v>
      </c>
      <c r="G57" s="319">
        <v>11</v>
      </c>
      <c r="H57" s="319">
        <v>11</v>
      </c>
      <c r="I57" s="319">
        <v>11</v>
      </c>
      <c r="J57" s="319">
        <v>16</v>
      </c>
      <c r="K57" s="319">
        <v>16</v>
      </c>
      <c r="L57" s="319">
        <v>6</v>
      </c>
      <c r="M57" s="319"/>
      <c r="N57" s="319"/>
      <c r="O57" s="319" t="s">
        <v>166</v>
      </c>
      <c r="P57" s="319">
        <v>16</v>
      </c>
      <c r="Q57" s="319">
        <v>41</v>
      </c>
      <c r="R57" s="319">
        <v>39</v>
      </c>
      <c r="S57" s="319">
        <v>39</v>
      </c>
      <c r="T57" s="319">
        <v>28</v>
      </c>
      <c r="U57" s="319">
        <v>16</v>
      </c>
      <c r="V57" s="319"/>
      <c r="W57" s="319"/>
      <c r="X57" s="319" t="s">
        <v>166</v>
      </c>
      <c r="Y57" s="319">
        <v>3.5</v>
      </c>
      <c r="Z57" s="319">
        <v>16</v>
      </c>
      <c r="AA57" s="319"/>
      <c r="AB57" s="319" t="s">
        <v>166</v>
      </c>
      <c r="AC57" s="319" t="s">
        <v>166</v>
      </c>
      <c r="AD57" s="319">
        <v>5</v>
      </c>
      <c r="AE57" s="319"/>
    </row>
    <row r="58" spans="1:31" s="316" customFormat="1" ht="9.75" customHeight="1" x14ac:dyDescent="0.2">
      <c r="A58" s="319">
        <v>15</v>
      </c>
      <c r="B58" s="319">
        <v>1</v>
      </c>
      <c r="C58" s="319">
        <v>1</v>
      </c>
      <c r="D58" s="319">
        <v>0.55000000000000004</v>
      </c>
      <c r="E58" s="319">
        <v>0.85</v>
      </c>
      <c r="F58" s="319">
        <v>15</v>
      </c>
      <c r="G58" s="319"/>
      <c r="H58" s="319"/>
      <c r="I58" s="319"/>
      <c r="J58" s="319">
        <v>15</v>
      </c>
      <c r="K58" s="319">
        <v>15</v>
      </c>
      <c r="L58" s="319"/>
      <c r="M58" s="319"/>
      <c r="N58" s="319"/>
      <c r="O58" s="319">
        <v>5</v>
      </c>
      <c r="P58" s="319">
        <v>15</v>
      </c>
      <c r="Q58" s="319">
        <v>42</v>
      </c>
      <c r="R58" s="319">
        <v>40</v>
      </c>
      <c r="S58" s="319">
        <v>40</v>
      </c>
      <c r="T58" s="319">
        <v>29</v>
      </c>
      <c r="U58" s="319">
        <v>15</v>
      </c>
      <c r="V58" s="319">
        <v>2.5</v>
      </c>
      <c r="W58" s="319" t="s">
        <v>166</v>
      </c>
      <c r="X58" s="319"/>
      <c r="Y58" s="319" t="s">
        <v>166</v>
      </c>
      <c r="Z58" s="319">
        <v>15</v>
      </c>
      <c r="AA58" s="319"/>
      <c r="AB58" s="319" t="s">
        <v>166</v>
      </c>
      <c r="AC58" s="319" t="s">
        <v>166</v>
      </c>
      <c r="AD58" s="319" t="s">
        <v>166</v>
      </c>
      <c r="AE58" s="319"/>
    </row>
    <row r="59" spans="1:31" s="316" customFormat="1" ht="9.75" customHeight="1" x14ac:dyDescent="0.2">
      <c r="A59" s="319">
        <v>14</v>
      </c>
      <c r="B59" s="319"/>
      <c r="C59" s="319"/>
      <c r="D59" s="319">
        <v>0.5</v>
      </c>
      <c r="E59" s="319">
        <v>0.8</v>
      </c>
      <c r="F59" s="319">
        <v>14</v>
      </c>
      <c r="G59" s="319">
        <v>10</v>
      </c>
      <c r="H59" s="319">
        <v>10</v>
      </c>
      <c r="I59" s="319">
        <v>10</v>
      </c>
      <c r="J59" s="319">
        <v>14</v>
      </c>
      <c r="K59" s="319">
        <v>14</v>
      </c>
      <c r="L59" s="319">
        <v>5</v>
      </c>
      <c r="M59" s="319"/>
      <c r="N59" s="319"/>
      <c r="O59" s="319"/>
      <c r="P59" s="319">
        <v>14</v>
      </c>
      <c r="Q59" s="319">
        <v>43</v>
      </c>
      <c r="R59" s="319">
        <v>41</v>
      </c>
      <c r="S59" s="319">
        <v>41</v>
      </c>
      <c r="T59" s="319">
        <v>30</v>
      </c>
      <c r="U59" s="319">
        <v>14</v>
      </c>
      <c r="V59" s="319" t="s">
        <v>166</v>
      </c>
      <c r="W59" s="319">
        <v>1.75</v>
      </c>
      <c r="X59" s="319">
        <v>2</v>
      </c>
      <c r="Y59" s="319" t="s">
        <v>166</v>
      </c>
      <c r="Z59" s="319">
        <v>14</v>
      </c>
      <c r="AA59" s="319">
        <v>2</v>
      </c>
      <c r="AB59" s="319" t="s">
        <v>166</v>
      </c>
      <c r="AC59" s="319" t="s">
        <v>166</v>
      </c>
      <c r="AD59" s="319" t="s">
        <v>166</v>
      </c>
      <c r="AE59" s="319"/>
    </row>
    <row r="60" spans="1:31" s="316" customFormat="1" ht="9.75" customHeight="1" x14ac:dyDescent="0.2">
      <c r="A60" s="319">
        <v>13</v>
      </c>
      <c r="B60" s="319">
        <v>0.9</v>
      </c>
      <c r="C60" s="319">
        <v>0.9</v>
      </c>
      <c r="D60" s="319"/>
      <c r="E60" s="319">
        <v>0.75</v>
      </c>
      <c r="F60" s="319">
        <v>13</v>
      </c>
      <c r="G60" s="319"/>
      <c r="H60" s="319"/>
      <c r="I60" s="319"/>
      <c r="J60" s="319">
        <v>13</v>
      </c>
      <c r="K60" s="319">
        <v>13</v>
      </c>
      <c r="L60" s="319" t="s">
        <v>166</v>
      </c>
      <c r="M60" s="319">
        <v>4</v>
      </c>
      <c r="N60" s="319">
        <v>4</v>
      </c>
      <c r="O60" s="319"/>
      <c r="P60" s="319">
        <v>13</v>
      </c>
      <c r="Q60" s="319">
        <v>44</v>
      </c>
      <c r="R60" s="319">
        <v>42</v>
      </c>
      <c r="S60" s="319">
        <v>42</v>
      </c>
      <c r="T60" s="319">
        <v>32</v>
      </c>
      <c r="U60" s="319">
        <v>13</v>
      </c>
      <c r="V60" s="319"/>
      <c r="W60" s="319" t="s">
        <v>166</v>
      </c>
      <c r="X60" s="319"/>
      <c r="Y60" s="319">
        <v>3.25</v>
      </c>
      <c r="Z60" s="319">
        <v>13</v>
      </c>
      <c r="AA60" s="319" t="s">
        <v>166</v>
      </c>
      <c r="AB60" s="319"/>
      <c r="AC60" s="319"/>
      <c r="AD60" s="319"/>
      <c r="AE60" s="319"/>
    </row>
    <row r="61" spans="1:31" s="316" customFormat="1" ht="9.75" customHeight="1" x14ac:dyDescent="0.2">
      <c r="A61" s="319">
        <v>12</v>
      </c>
      <c r="B61" s="319"/>
      <c r="C61" s="319"/>
      <c r="D61" s="319">
        <v>0.45</v>
      </c>
      <c r="E61" s="319">
        <v>0.7</v>
      </c>
      <c r="F61" s="319">
        <v>12</v>
      </c>
      <c r="G61" s="319">
        <v>9</v>
      </c>
      <c r="H61" s="319">
        <v>9</v>
      </c>
      <c r="I61" s="319">
        <v>9</v>
      </c>
      <c r="J61" s="319">
        <v>12</v>
      </c>
      <c r="K61" s="319">
        <v>12</v>
      </c>
      <c r="L61" s="319">
        <v>4</v>
      </c>
      <c r="M61" s="319"/>
      <c r="N61" s="319"/>
      <c r="O61" s="319">
        <v>4</v>
      </c>
      <c r="P61" s="319">
        <v>12</v>
      </c>
      <c r="Q61" s="319">
        <v>45</v>
      </c>
      <c r="R61" s="319">
        <v>43</v>
      </c>
      <c r="S61" s="319">
        <v>43</v>
      </c>
      <c r="T61" s="319">
        <v>34</v>
      </c>
      <c r="U61" s="319">
        <v>12</v>
      </c>
      <c r="V61" s="319">
        <v>2.25</v>
      </c>
      <c r="W61" s="319"/>
      <c r="X61" s="319" t="s">
        <v>166</v>
      </c>
      <c r="Y61" s="319" t="s">
        <v>166</v>
      </c>
      <c r="Z61" s="319">
        <v>12</v>
      </c>
      <c r="AA61" s="319" t="s">
        <v>166</v>
      </c>
      <c r="AB61" s="319" t="s">
        <v>166</v>
      </c>
      <c r="AC61" s="319" t="s">
        <v>166</v>
      </c>
      <c r="AD61" s="319">
        <v>4</v>
      </c>
      <c r="AE61" s="319"/>
    </row>
    <row r="62" spans="1:31" s="316" customFormat="1" ht="9.75" customHeight="1" x14ac:dyDescent="0.2">
      <c r="A62" s="319">
        <v>11</v>
      </c>
      <c r="B62" s="319">
        <v>0.8</v>
      </c>
      <c r="C62" s="319">
        <v>0.8</v>
      </c>
      <c r="D62" s="319"/>
      <c r="E62" s="319">
        <v>0.75</v>
      </c>
      <c r="F62" s="319">
        <v>11</v>
      </c>
      <c r="G62" s="319"/>
      <c r="H62" s="319"/>
      <c r="I62" s="319"/>
      <c r="J62" s="319">
        <v>11</v>
      </c>
      <c r="K62" s="319">
        <v>11</v>
      </c>
      <c r="L62" s="319" t="s">
        <v>166</v>
      </c>
      <c r="M62" s="319"/>
      <c r="N62" s="319"/>
      <c r="O62" s="319"/>
      <c r="P62" s="319">
        <v>11</v>
      </c>
      <c r="Q62" s="319">
        <v>46</v>
      </c>
      <c r="R62" s="319">
        <v>44</v>
      </c>
      <c r="S62" s="319">
        <v>44</v>
      </c>
      <c r="T62" s="319">
        <v>36</v>
      </c>
      <c r="U62" s="319">
        <v>11</v>
      </c>
      <c r="V62" s="319" t="s">
        <v>166</v>
      </c>
      <c r="W62" s="319">
        <v>1.5</v>
      </c>
      <c r="X62" s="319">
        <v>1.75</v>
      </c>
      <c r="Y62" s="319" t="s">
        <v>166</v>
      </c>
      <c r="Z62" s="319">
        <v>11</v>
      </c>
      <c r="AA62" s="319"/>
      <c r="AB62" s="319">
        <v>2</v>
      </c>
      <c r="AC62" s="319" t="s">
        <v>166</v>
      </c>
      <c r="AD62" s="319" t="s">
        <v>166</v>
      </c>
      <c r="AE62" s="319"/>
    </row>
    <row r="63" spans="1:31" s="316" customFormat="1" ht="9.75" customHeight="1" x14ac:dyDescent="0.2">
      <c r="A63" s="319">
        <v>10</v>
      </c>
      <c r="B63" s="319"/>
      <c r="C63" s="319"/>
      <c r="D63" s="319">
        <v>0.4</v>
      </c>
      <c r="E63" s="319">
        <v>0.7</v>
      </c>
      <c r="F63" s="319">
        <v>10</v>
      </c>
      <c r="G63" s="319">
        <v>8</v>
      </c>
      <c r="H63" s="319">
        <v>8</v>
      </c>
      <c r="I63" s="319">
        <v>8</v>
      </c>
      <c r="J63" s="319">
        <v>10</v>
      </c>
      <c r="K63" s="319">
        <v>10</v>
      </c>
      <c r="L63" s="319" t="s">
        <v>166</v>
      </c>
      <c r="M63" s="319"/>
      <c r="N63" s="319"/>
      <c r="O63" s="319" t="s">
        <v>166</v>
      </c>
      <c r="P63" s="319">
        <v>10</v>
      </c>
      <c r="Q63" s="319">
        <v>47</v>
      </c>
      <c r="R63" s="319">
        <v>45</v>
      </c>
      <c r="S63" s="319">
        <v>45</v>
      </c>
      <c r="T63" s="319">
        <v>38</v>
      </c>
      <c r="U63" s="319">
        <v>10</v>
      </c>
      <c r="V63" s="319"/>
      <c r="W63" s="319" t="s">
        <v>166</v>
      </c>
      <c r="X63" s="319" t="s">
        <v>166</v>
      </c>
      <c r="Y63" s="319">
        <v>3</v>
      </c>
      <c r="Z63" s="319">
        <v>10</v>
      </c>
      <c r="AA63" s="319" t="s">
        <v>166</v>
      </c>
      <c r="AB63" s="319"/>
      <c r="AC63" s="319">
        <v>2</v>
      </c>
      <c r="AD63" s="319" t="s">
        <v>166</v>
      </c>
      <c r="AE63" s="319"/>
    </row>
    <row r="64" spans="1:31" s="316" customFormat="1" ht="9.75" customHeight="1" x14ac:dyDescent="0.2">
      <c r="A64" s="319">
        <v>9</v>
      </c>
      <c r="B64" s="319">
        <v>0.7</v>
      </c>
      <c r="C64" s="319">
        <v>0.7</v>
      </c>
      <c r="D64" s="319"/>
      <c r="E64" s="319">
        <v>0.65</v>
      </c>
      <c r="F64" s="319">
        <v>9</v>
      </c>
      <c r="G64" s="319"/>
      <c r="H64" s="319"/>
      <c r="I64" s="319"/>
      <c r="J64" s="319">
        <v>9</v>
      </c>
      <c r="K64" s="319">
        <v>9</v>
      </c>
      <c r="L64" s="319">
        <v>3</v>
      </c>
      <c r="M64" s="319">
        <v>3</v>
      </c>
      <c r="N64" s="319">
        <v>3</v>
      </c>
      <c r="O64" s="319">
        <v>3</v>
      </c>
      <c r="P64" s="319">
        <v>9</v>
      </c>
      <c r="Q64" s="319">
        <v>48</v>
      </c>
      <c r="R64" s="319">
        <v>46</v>
      </c>
      <c r="S64" s="319">
        <v>46</v>
      </c>
      <c r="T64" s="319">
        <v>40</v>
      </c>
      <c r="U64" s="319">
        <v>9</v>
      </c>
      <c r="V64" s="319">
        <v>2</v>
      </c>
      <c r="W64" s="319"/>
      <c r="X64" s="319"/>
      <c r="Y64" s="319" t="s">
        <v>166</v>
      </c>
      <c r="Z64" s="319">
        <v>9</v>
      </c>
      <c r="AA64" s="319"/>
      <c r="AB64" s="319"/>
      <c r="AC64" s="319"/>
      <c r="AD64" s="319"/>
      <c r="AE64" s="319"/>
    </row>
    <row r="65" spans="1:31" s="316" customFormat="1" ht="9.75" customHeight="1" x14ac:dyDescent="0.2">
      <c r="A65" s="319">
        <v>8</v>
      </c>
      <c r="B65" s="319"/>
      <c r="C65" s="319"/>
      <c r="D65" s="319">
        <v>0.35</v>
      </c>
      <c r="E65" s="319">
        <v>0.6</v>
      </c>
      <c r="F65" s="319">
        <v>8</v>
      </c>
      <c r="G65" s="319">
        <v>7</v>
      </c>
      <c r="H65" s="319">
        <v>7</v>
      </c>
      <c r="I65" s="319">
        <v>7</v>
      </c>
      <c r="J65" s="319">
        <v>8</v>
      </c>
      <c r="K65" s="319">
        <v>8</v>
      </c>
      <c r="L65" s="319" t="s">
        <v>166</v>
      </c>
      <c r="M65" s="319"/>
      <c r="N65" s="319"/>
      <c r="O65" s="319" t="s">
        <v>166</v>
      </c>
      <c r="P65" s="319">
        <v>8</v>
      </c>
      <c r="Q65" s="319">
        <v>49</v>
      </c>
      <c r="R65" s="319">
        <v>47</v>
      </c>
      <c r="S65" s="319">
        <v>47</v>
      </c>
      <c r="T65" s="319">
        <v>41</v>
      </c>
      <c r="U65" s="319">
        <v>8</v>
      </c>
      <c r="V65" s="319"/>
      <c r="W65" s="319">
        <v>1.25</v>
      </c>
      <c r="X65" s="319">
        <v>1.5</v>
      </c>
      <c r="Y65" s="319">
        <v>2.75</v>
      </c>
      <c r="Z65" s="319">
        <v>8</v>
      </c>
      <c r="AA65" s="319"/>
      <c r="AB65" s="319" t="s">
        <v>166</v>
      </c>
      <c r="AC65" s="319" t="s">
        <v>166</v>
      </c>
      <c r="AD65" s="319">
        <v>3</v>
      </c>
      <c r="AE65" s="319"/>
    </row>
    <row r="66" spans="1:31" s="316" customFormat="1" ht="9.75" customHeight="1" x14ac:dyDescent="0.2">
      <c r="A66" s="319">
        <v>7</v>
      </c>
      <c r="B66" s="319">
        <v>0.6</v>
      </c>
      <c r="C66" s="319">
        <v>0.6</v>
      </c>
      <c r="D66" s="319"/>
      <c r="E66" s="319">
        <v>0.55000000000000004</v>
      </c>
      <c r="F66" s="319">
        <v>7</v>
      </c>
      <c r="G66" s="319"/>
      <c r="H66" s="319"/>
      <c r="I66" s="319"/>
      <c r="J66" s="319">
        <v>7</v>
      </c>
      <c r="K66" s="319">
        <v>7</v>
      </c>
      <c r="L66" s="319" t="s">
        <v>166</v>
      </c>
      <c r="M66" s="319"/>
      <c r="N66" s="319"/>
      <c r="O66" s="319" t="s">
        <v>166</v>
      </c>
      <c r="P66" s="319">
        <v>7</v>
      </c>
      <c r="Q66" s="319">
        <v>50</v>
      </c>
      <c r="R66" s="319">
        <v>48</v>
      </c>
      <c r="S66" s="319">
        <v>48</v>
      </c>
      <c r="T66" s="319">
        <v>42</v>
      </c>
      <c r="U66" s="319">
        <v>7</v>
      </c>
      <c r="V66" s="319" t="s">
        <v>166</v>
      </c>
      <c r="W66" s="319"/>
      <c r="X66" s="319" t="s">
        <v>166</v>
      </c>
      <c r="Y66" s="319" t="s">
        <v>166</v>
      </c>
      <c r="Z66" s="319">
        <v>7</v>
      </c>
      <c r="AA66" s="319"/>
      <c r="AB66" s="319" t="s">
        <v>166</v>
      </c>
      <c r="AC66" s="319" t="s">
        <v>166</v>
      </c>
      <c r="AD66" s="319" t="s">
        <v>166</v>
      </c>
      <c r="AE66" s="319"/>
    </row>
    <row r="67" spans="1:31" s="316" customFormat="1" ht="9.75" customHeight="1" x14ac:dyDescent="0.2">
      <c r="A67" s="319">
        <v>6</v>
      </c>
      <c r="B67" s="319"/>
      <c r="C67" s="319"/>
      <c r="D67" s="319">
        <v>0.3</v>
      </c>
      <c r="E67" s="319"/>
      <c r="F67" s="319">
        <v>6</v>
      </c>
      <c r="G67" s="319">
        <v>6</v>
      </c>
      <c r="H67" s="319">
        <v>6</v>
      </c>
      <c r="I67" s="319">
        <v>6</v>
      </c>
      <c r="J67" s="319">
        <v>6</v>
      </c>
      <c r="K67" s="319">
        <v>6</v>
      </c>
      <c r="L67" s="319">
        <v>2</v>
      </c>
      <c r="M67" s="319">
        <v>2</v>
      </c>
      <c r="N67" s="319">
        <v>2</v>
      </c>
      <c r="O67" s="319">
        <v>2</v>
      </c>
      <c r="P67" s="319">
        <v>6</v>
      </c>
      <c r="Q67" s="319">
        <v>52</v>
      </c>
      <c r="R67" s="319">
        <v>49</v>
      </c>
      <c r="S67" s="319">
        <v>49</v>
      </c>
      <c r="T67" s="319">
        <v>43</v>
      </c>
      <c r="U67" s="319">
        <v>6</v>
      </c>
      <c r="V67" s="319">
        <v>1.5</v>
      </c>
      <c r="W67" s="319"/>
      <c r="X67" s="319"/>
      <c r="Y67" s="319">
        <v>2.5</v>
      </c>
      <c r="Z67" s="319">
        <v>6</v>
      </c>
      <c r="AA67" s="319">
        <v>1</v>
      </c>
      <c r="AB67" s="319" t="s">
        <v>166</v>
      </c>
      <c r="AC67" s="319" t="s">
        <v>166</v>
      </c>
      <c r="AD67" s="319"/>
      <c r="AE67" s="319"/>
    </row>
    <row r="68" spans="1:31" s="316" customFormat="1" ht="9.75" customHeight="1" x14ac:dyDescent="0.2">
      <c r="A68" s="319">
        <v>5</v>
      </c>
      <c r="B68" s="319">
        <v>0.5</v>
      </c>
      <c r="C68" s="319">
        <v>0.5</v>
      </c>
      <c r="D68" s="319"/>
      <c r="E68" s="319">
        <v>0.5</v>
      </c>
      <c r="F68" s="319">
        <v>5</v>
      </c>
      <c r="G68" s="319">
        <v>5</v>
      </c>
      <c r="H68" s="319">
        <v>5</v>
      </c>
      <c r="I68" s="319">
        <v>5</v>
      </c>
      <c r="J68" s="319">
        <v>5</v>
      </c>
      <c r="K68" s="319">
        <v>5</v>
      </c>
      <c r="L68" s="319" t="s">
        <v>166</v>
      </c>
      <c r="M68" s="319"/>
      <c r="N68" s="319"/>
      <c r="O68" s="319" t="s">
        <v>166</v>
      </c>
      <c r="P68" s="319">
        <v>5</v>
      </c>
      <c r="Q68" s="319">
        <v>54</v>
      </c>
      <c r="R68" s="319">
        <v>50</v>
      </c>
      <c r="S68" s="319">
        <v>50</v>
      </c>
      <c r="T68" s="319">
        <v>44</v>
      </c>
      <c r="U68" s="319">
        <v>5</v>
      </c>
      <c r="V68" s="319" t="s">
        <v>166</v>
      </c>
      <c r="W68" s="319">
        <v>1</v>
      </c>
      <c r="X68" s="319">
        <v>1</v>
      </c>
      <c r="Y68" s="319" t="s">
        <v>166</v>
      </c>
      <c r="Z68" s="319">
        <v>5</v>
      </c>
      <c r="AA68" s="319" t="s">
        <v>166</v>
      </c>
      <c r="AB68" s="319"/>
      <c r="AC68" s="319"/>
      <c r="AD68" s="319"/>
      <c r="AE68" s="319"/>
    </row>
    <row r="69" spans="1:31" s="316" customFormat="1" ht="9.75" customHeight="1" x14ac:dyDescent="0.2">
      <c r="A69" s="319">
        <v>4</v>
      </c>
      <c r="B69" s="319"/>
      <c r="C69" s="319"/>
      <c r="D69" s="319">
        <v>0.2</v>
      </c>
      <c r="E69" s="319"/>
      <c r="F69" s="319">
        <v>4</v>
      </c>
      <c r="G69" s="319">
        <v>4</v>
      </c>
      <c r="H69" s="319">
        <v>4</v>
      </c>
      <c r="I69" s="319">
        <v>4</v>
      </c>
      <c r="J69" s="319">
        <v>4</v>
      </c>
      <c r="K69" s="319">
        <v>4</v>
      </c>
      <c r="L69" s="319" t="s">
        <v>166</v>
      </c>
      <c r="M69" s="319"/>
      <c r="N69" s="319"/>
      <c r="O69" s="319" t="s">
        <v>166</v>
      </c>
      <c r="P69" s="319">
        <v>4</v>
      </c>
      <c r="Q69" s="319">
        <v>56</v>
      </c>
      <c r="R69" s="319">
        <v>52</v>
      </c>
      <c r="S69" s="319">
        <v>52</v>
      </c>
      <c r="T69" s="319">
        <v>45</v>
      </c>
      <c r="U69" s="319">
        <v>4</v>
      </c>
      <c r="V69" s="319"/>
      <c r="W69" s="319"/>
      <c r="X69" s="319"/>
      <c r="Y69" s="319">
        <v>2</v>
      </c>
      <c r="Z69" s="319">
        <v>4</v>
      </c>
      <c r="AA69" s="319"/>
      <c r="AB69" s="319">
        <v>1</v>
      </c>
      <c r="AC69" s="319" t="s">
        <v>166</v>
      </c>
      <c r="AD69" s="319">
        <v>2</v>
      </c>
      <c r="AE69" s="319"/>
    </row>
    <row r="70" spans="1:31" s="316" customFormat="1" ht="9.75" customHeight="1" x14ac:dyDescent="0.2">
      <c r="A70" s="319">
        <v>3</v>
      </c>
      <c r="B70" s="319">
        <v>0.3</v>
      </c>
      <c r="C70" s="319">
        <v>0.3</v>
      </c>
      <c r="D70" s="319"/>
      <c r="E70" s="319">
        <v>0.3</v>
      </c>
      <c r="F70" s="319">
        <v>3</v>
      </c>
      <c r="G70" s="319">
        <v>3</v>
      </c>
      <c r="H70" s="319">
        <v>3</v>
      </c>
      <c r="I70" s="319">
        <v>3</v>
      </c>
      <c r="J70" s="319">
        <v>3</v>
      </c>
      <c r="K70" s="319">
        <v>3</v>
      </c>
      <c r="L70" s="319">
        <v>1</v>
      </c>
      <c r="M70" s="319">
        <v>1</v>
      </c>
      <c r="N70" s="319">
        <v>1</v>
      </c>
      <c r="O70" s="319">
        <v>1</v>
      </c>
      <c r="P70" s="319">
        <v>3</v>
      </c>
      <c r="Q70" s="319">
        <v>58</v>
      </c>
      <c r="R70" s="319">
        <v>54</v>
      </c>
      <c r="S70" s="319">
        <v>54</v>
      </c>
      <c r="T70" s="319">
        <v>46</v>
      </c>
      <c r="U70" s="319">
        <v>3</v>
      </c>
      <c r="V70" s="319">
        <v>1</v>
      </c>
      <c r="W70" s="319">
        <v>0.75</v>
      </c>
      <c r="X70" s="319">
        <v>0.75</v>
      </c>
      <c r="Y70" s="319" t="s">
        <v>166</v>
      </c>
      <c r="Z70" s="319">
        <v>3</v>
      </c>
      <c r="AA70" s="319" t="s">
        <v>166</v>
      </c>
      <c r="AB70" s="319"/>
      <c r="AC70" s="319">
        <v>1</v>
      </c>
      <c r="AD70" s="319"/>
      <c r="AE70" s="319"/>
    </row>
    <row r="71" spans="1:31" s="316" customFormat="1" ht="9.75" customHeight="1" x14ac:dyDescent="0.2">
      <c r="A71" s="319">
        <v>2</v>
      </c>
      <c r="B71" s="319"/>
      <c r="C71" s="319"/>
      <c r="D71" s="319"/>
      <c r="E71" s="319"/>
      <c r="F71" s="319">
        <v>2</v>
      </c>
      <c r="G71" s="319">
        <v>2</v>
      </c>
      <c r="H71" s="319">
        <v>2</v>
      </c>
      <c r="I71" s="319">
        <v>2</v>
      </c>
      <c r="J71" s="319">
        <v>2</v>
      </c>
      <c r="K71" s="319">
        <v>2</v>
      </c>
      <c r="L71" s="319" t="s">
        <v>166</v>
      </c>
      <c r="M71" s="319"/>
      <c r="N71" s="319"/>
      <c r="O71" s="319" t="s">
        <v>166</v>
      </c>
      <c r="P71" s="319">
        <v>2</v>
      </c>
      <c r="Q71" s="319">
        <v>60</v>
      </c>
      <c r="R71" s="319">
        <v>56</v>
      </c>
      <c r="S71" s="319">
        <v>56</v>
      </c>
      <c r="T71" s="319">
        <v>48</v>
      </c>
      <c r="U71" s="319">
        <v>2</v>
      </c>
      <c r="V71" s="319" t="s">
        <v>166</v>
      </c>
      <c r="W71" s="319"/>
      <c r="X71" s="319"/>
      <c r="Y71" s="319" t="s">
        <v>166</v>
      </c>
      <c r="Z71" s="319">
        <v>2</v>
      </c>
      <c r="AA71" s="319" t="s">
        <v>166</v>
      </c>
      <c r="AB71" s="319"/>
      <c r="AC71" s="319"/>
      <c r="AD71" s="319"/>
      <c r="AE71" s="319"/>
    </row>
    <row r="72" spans="1:31" s="316" customFormat="1" ht="9.75" customHeight="1" x14ac:dyDescent="0.2">
      <c r="A72" s="319">
        <v>1</v>
      </c>
      <c r="B72" s="319">
        <v>0.1</v>
      </c>
      <c r="C72" s="319">
        <v>0.1</v>
      </c>
      <c r="D72" s="319">
        <v>0.1</v>
      </c>
      <c r="E72" s="319">
        <v>0.1</v>
      </c>
      <c r="F72" s="319">
        <v>1</v>
      </c>
      <c r="G72" s="319">
        <v>1</v>
      </c>
      <c r="H72" s="319">
        <v>1</v>
      </c>
      <c r="I72" s="319">
        <v>1</v>
      </c>
      <c r="J72" s="319">
        <v>1</v>
      </c>
      <c r="K72" s="319">
        <v>1</v>
      </c>
      <c r="L72" s="319" t="s">
        <v>166</v>
      </c>
      <c r="M72" s="319"/>
      <c r="N72" s="319"/>
      <c r="O72" s="319" t="s">
        <v>166</v>
      </c>
      <c r="P72" s="319">
        <v>1</v>
      </c>
      <c r="Q72" s="319">
        <v>70</v>
      </c>
      <c r="R72" s="319">
        <v>60</v>
      </c>
      <c r="S72" s="319">
        <v>60</v>
      </c>
      <c r="T72" s="319">
        <v>50</v>
      </c>
      <c r="U72" s="319">
        <v>1</v>
      </c>
      <c r="V72" s="319">
        <v>0.5</v>
      </c>
      <c r="W72" s="319">
        <v>0.5</v>
      </c>
      <c r="X72" s="319">
        <v>0.5</v>
      </c>
      <c r="Y72" s="319">
        <v>1.5</v>
      </c>
      <c r="Z72" s="319">
        <v>1</v>
      </c>
      <c r="AA72" s="319"/>
      <c r="AB72" s="319" t="s">
        <v>166</v>
      </c>
      <c r="AC72" s="319" t="s">
        <v>166</v>
      </c>
      <c r="AD72" s="319">
        <v>1</v>
      </c>
      <c r="AE72" s="319"/>
    </row>
    <row r="73" spans="1:31" x14ac:dyDescent="0.35">
      <c r="A73" s="320"/>
      <c r="B73" s="320"/>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row>
    <row r="74" spans="1:31" x14ac:dyDescent="0.35">
      <c r="A74" s="320"/>
      <c r="B74" s="320"/>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0" t="s">
        <v>166</v>
      </c>
      <c r="AC74" s="320"/>
      <c r="AD74" s="320"/>
      <c r="AE74" s="320"/>
    </row>
    <row r="75" spans="1:31" x14ac:dyDescent="0.35">
      <c r="A75" s="320"/>
      <c r="B75" s="320"/>
      <c r="C75" s="320"/>
      <c r="D75" s="320"/>
      <c r="E75" s="320"/>
      <c r="F75" s="320"/>
      <c r="G75" s="320"/>
      <c r="H75" s="320"/>
      <c r="I75" s="320"/>
      <c r="J75" s="320"/>
      <c r="K75" s="320"/>
      <c r="L75" s="320"/>
      <c r="M75" s="320"/>
      <c r="N75" s="320"/>
      <c r="O75" s="320"/>
      <c r="P75" s="320"/>
      <c r="Q75" s="320"/>
      <c r="R75" s="320"/>
      <c r="S75" s="320"/>
      <c r="T75" s="320"/>
      <c r="U75" s="320"/>
      <c r="V75" s="320"/>
      <c r="W75" s="320"/>
      <c r="X75" s="320"/>
      <c r="Y75" s="320"/>
      <c r="Z75" s="320"/>
      <c r="AA75" s="320"/>
      <c r="AB75" s="320" t="s">
        <v>166</v>
      </c>
      <c r="AC75" s="320"/>
      <c r="AD75" s="320"/>
      <c r="AE75" s="320"/>
    </row>
    <row r="76" spans="1:31" x14ac:dyDescent="0.35">
      <c r="A76" s="320"/>
      <c r="B76" s="320"/>
      <c r="C76" s="320"/>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row>
  </sheetData>
  <pageMargins left="0.25" right="0.25"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421"/>
  <sheetViews>
    <sheetView showGridLines="0" showRowColHeaders="0" zoomScale="75" zoomScaleNormal="75" workbookViewId="0">
      <selection activeCell="C8" sqref="C8"/>
    </sheetView>
  </sheetViews>
  <sheetFormatPr defaultRowHeight="12.5" x14ac:dyDescent="0.25"/>
  <cols>
    <col min="1" max="1" width="1.7265625" customWidth="1"/>
    <col min="2" max="2" width="6.1796875" customWidth="1"/>
    <col min="3" max="3" width="22.7265625" customWidth="1"/>
    <col min="6" max="12" width="12.7265625" customWidth="1"/>
    <col min="13" max="13" width="3.7265625" customWidth="1"/>
  </cols>
  <sheetData>
    <row r="1" spans="2:12" ht="6" customHeight="1" x14ac:dyDescent="0.25"/>
    <row r="2" spans="2:12" ht="16.5" customHeight="1" x14ac:dyDescent="0.25">
      <c r="F2" s="696" t="s">
        <v>6185</v>
      </c>
      <c r="G2" s="697"/>
      <c r="H2" s="697"/>
      <c r="I2" s="697"/>
      <c r="K2" s="699" t="s">
        <v>6192</v>
      </c>
      <c r="L2" s="616"/>
    </row>
    <row r="3" spans="2:12" ht="16.5" customHeight="1" thickBot="1" x14ac:dyDescent="0.3">
      <c r="F3" s="698"/>
      <c r="G3" s="698"/>
      <c r="H3" s="698"/>
      <c r="I3" s="698"/>
      <c r="K3" s="616"/>
      <c r="L3" s="616"/>
    </row>
    <row r="4" spans="2:12" ht="16.5" customHeight="1" x14ac:dyDescent="0.25">
      <c r="F4" s="690" t="str">
        <f>'Competition Menu'!C11</f>
        <v>Team 1</v>
      </c>
      <c r="G4" s="691"/>
      <c r="H4" s="691"/>
      <c r="I4" s="692"/>
      <c r="K4" s="639"/>
      <c r="L4" s="639"/>
    </row>
    <row r="5" spans="2:12" ht="16.5" customHeight="1" thickBot="1" x14ac:dyDescent="0.3">
      <c r="F5" s="693"/>
      <c r="G5" s="694"/>
      <c r="H5" s="694"/>
      <c r="I5" s="695"/>
    </row>
    <row r="6" spans="2:12" ht="11.25" customHeight="1" thickBot="1" x14ac:dyDescent="0.3"/>
    <row r="7" spans="2:12" ht="36" customHeight="1" thickBot="1" x14ac:dyDescent="0.3">
      <c r="B7" s="576" t="s">
        <v>6184</v>
      </c>
      <c r="C7" s="315" t="s">
        <v>6191</v>
      </c>
      <c r="D7" s="315" t="s">
        <v>6181</v>
      </c>
      <c r="E7" s="315" t="s">
        <v>6182</v>
      </c>
      <c r="F7" s="315" t="s">
        <v>6183</v>
      </c>
      <c r="G7" s="315" t="s">
        <v>56</v>
      </c>
      <c r="H7" s="315" t="s">
        <v>57</v>
      </c>
      <c r="I7" s="315" t="s">
        <v>58</v>
      </c>
      <c r="J7" s="315" t="s">
        <v>59</v>
      </c>
      <c r="K7" s="315" t="s">
        <v>60</v>
      </c>
      <c r="L7" s="315" t="s">
        <v>61</v>
      </c>
    </row>
    <row r="8" spans="2:12" ht="31.5" customHeight="1" x14ac:dyDescent="0.25">
      <c r="B8" s="577">
        <v>1</v>
      </c>
      <c r="C8" s="575"/>
      <c r="D8" s="575"/>
      <c r="E8" s="575"/>
      <c r="F8" s="575"/>
      <c r="G8" s="575"/>
      <c r="H8" s="575"/>
      <c r="I8" s="575"/>
      <c r="J8" s="575"/>
      <c r="K8" s="575"/>
      <c r="L8" s="575"/>
    </row>
    <row r="9" spans="2:12" ht="31.5" customHeight="1" x14ac:dyDescent="0.25">
      <c r="B9" s="578">
        <v>2</v>
      </c>
      <c r="C9" s="573"/>
      <c r="D9" s="573"/>
      <c r="E9" s="573"/>
      <c r="F9" s="573"/>
      <c r="G9" s="573"/>
      <c r="H9" s="573"/>
      <c r="I9" s="573"/>
      <c r="J9" s="573"/>
      <c r="K9" s="573"/>
      <c r="L9" s="573"/>
    </row>
    <row r="10" spans="2:12" ht="31.5" customHeight="1" x14ac:dyDescent="0.25">
      <c r="B10" s="578">
        <v>3</v>
      </c>
      <c r="C10" s="573"/>
      <c r="D10" s="573"/>
      <c r="E10" s="573"/>
      <c r="F10" s="573"/>
      <c r="G10" s="573"/>
      <c r="H10" s="573"/>
      <c r="I10" s="573"/>
      <c r="J10" s="573"/>
      <c r="K10" s="573"/>
      <c r="L10" s="573"/>
    </row>
    <row r="11" spans="2:12" ht="31.5" customHeight="1" x14ac:dyDescent="0.25">
      <c r="B11" s="578">
        <v>4</v>
      </c>
      <c r="C11" s="573"/>
      <c r="D11" s="573"/>
      <c r="E11" s="573"/>
      <c r="F11" s="573"/>
      <c r="G11" s="573"/>
      <c r="H11" s="573"/>
      <c r="I11" s="573"/>
      <c r="J11" s="573"/>
      <c r="K11" s="573"/>
      <c r="L11" s="573"/>
    </row>
    <row r="12" spans="2:12" ht="31.5" customHeight="1" x14ac:dyDescent="0.25">
      <c r="B12" s="578">
        <v>5</v>
      </c>
      <c r="C12" s="573"/>
      <c r="D12" s="573"/>
      <c r="E12" s="573"/>
      <c r="F12" s="573"/>
      <c r="G12" s="573"/>
      <c r="H12" s="573"/>
      <c r="I12" s="573"/>
      <c r="J12" s="573"/>
      <c r="K12" s="573"/>
      <c r="L12" s="573"/>
    </row>
    <row r="13" spans="2:12" ht="31.5" customHeight="1" x14ac:dyDescent="0.25">
      <c r="B13" s="578">
        <v>6</v>
      </c>
      <c r="C13" s="573"/>
      <c r="D13" s="573"/>
      <c r="E13" s="573"/>
      <c r="F13" s="573"/>
      <c r="G13" s="573"/>
      <c r="H13" s="573"/>
      <c r="I13" s="573"/>
      <c r="J13" s="573"/>
      <c r="K13" s="573"/>
      <c r="L13" s="573"/>
    </row>
    <row r="14" spans="2:12" ht="31.5" customHeight="1" x14ac:dyDescent="0.25">
      <c r="B14" s="578">
        <v>7</v>
      </c>
      <c r="C14" s="573"/>
      <c r="D14" s="573"/>
      <c r="E14" s="573"/>
      <c r="F14" s="573"/>
      <c r="G14" s="573"/>
      <c r="H14" s="573"/>
      <c r="I14" s="573"/>
      <c r="J14" s="573"/>
      <c r="K14" s="573"/>
      <c r="L14" s="573"/>
    </row>
    <row r="15" spans="2:12" ht="31.5" customHeight="1" x14ac:dyDescent="0.25">
      <c r="B15" s="578">
        <v>8</v>
      </c>
      <c r="C15" s="573"/>
      <c r="D15" s="573"/>
      <c r="E15" s="573"/>
      <c r="F15" s="573"/>
      <c r="G15" s="573"/>
      <c r="H15" s="573"/>
      <c r="I15" s="573"/>
      <c r="J15" s="573"/>
      <c r="K15" s="573"/>
      <c r="L15" s="573"/>
    </row>
    <row r="16" spans="2:12" ht="31.5" customHeight="1" x14ac:dyDescent="0.25">
      <c r="B16" s="578">
        <v>9</v>
      </c>
      <c r="C16" s="573"/>
      <c r="D16" s="573"/>
      <c r="E16" s="573"/>
      <c r="F16" s="573"/>
      <c r="G16" s="573"/>
      <c r="H16" s="573"/>
      <c r="I16" s="573"/>
      <c r="J16" s="573"/>
      <c r="K16" s="573"/>
      <c r="L16" s="573"/>
    </row>
    <row r="17" spans="2:12" ht="31.5" customHeight="1" x14ac:dyDescent="0.25">
      <c r="B17" s="578">
        <v>10</v>
      </c>
      <c r="C17" s="573"/>
      <c r="D17" s="573"/>
      <c r="E17" s="573"/>
      <c r="F17" s="573"/>
      <c r="G17" s="573"/>
      <c r="H17" s="573"/>
      <c r="I17" s="573"/>
      <c r="J17" s="573"/>
      <c r="K17" s="573"/>
      <c r="L17" s="573"/>
    </row>
    <row r="18" spans="2:12" ht="31.5" customHeight="1" x14ac:dyDescent="0.25">
      <c r="B18" s="578">
        <v>11</v>
      </c>
      <c r="C18" s="573"/>
      <c r="D18" s="573"/>
      <c r="E18" s="573"/>
      <c r="F18" s="573"/>
      <c r="G18" s="573"/>
      <c r="H18" s="573"/>
      <c r="I18" s="573"/>
      <c r="J18" s="573"/>
      <c r="K18" s="573"/>
      <c r="L18" s="573"/>
    </row>
    <row r="19" spans="2:12" ht="31.5" customHeight="1" thickBot="1" x14ac:dyDescent="0.3">
      <c r="B19" s="579">
        <v>12</v>
      </c>
      <c r="C19" s="574"/>
      <c r="D19" s="574"/>
      <c r="E19" s="574"/>
      <c r="F19" s="574"/>
      <c r="G19" s="574"/>
      <c r="H19" s="574"/>
      <c r="I19" s="574"/>
      <c r="J19" s="574"/>
      <c r="K19" s="574"/>
      <c r="L19" s="574"/>
    </row>
    <row r="20" spans="2:12" ht="6" customHeight="1" x14ac:dyDescent="0.25"/>
    <row r="21" spans="2:12" ht="24" customHeight="1" x14ac:dyDescent="0.25">
      <c r="B21" s="700" t="s">
        <v>6190</v>
      </c>
      <c r="C21" s="700"/>
      <c r="D21" s="700"/>
      <c r="E21" s="700"/>
      <c r="F21" s="700"/>
      <c r="G21" s="700"/>
      <c r="H21" s="700"/>
      <c r="I21" s="700"/>
      <c r="J21" s="700"/>
      <c r="K21" s="700"/>
      <c r="L21" s="700"/>
    </row>
    <row r="22" spans="2:12" ht="24" customHeight="1" x14ac:dyDescent="0.25">
      <c r="B22" s="700"/>
      <c r="C22" s="700"/>
      <c r="D22" s="700"/>
      <c r="E22" s="700"/>
      <c r="F22" s="700"/>
      <c r="G22" s="700"/>
      <c r="H22" s="700"/>
      <c r="I22" s="700"/>
      <c r="J22" s="700"/>
      <c r="K22" s="700"/>
      <c r="L22" s="700"/>
    </row>
    <row r="23" spans="2:12" ht="16.5" customHeight="1" x14ac:dyDescent="0.25">
      <c r="F23" s="696" t="s">
        <v>6185</v>
      </c>
      <c r="G23" s="697"/>
      <c r="H23" s="697"/>
      <c r="I23" s="697"/>
      <c r="K23" s="699" t="s">
        <v>6180</v>
      </c>
      <c r="L23" s="616"/>
    </row>
    <row r="24" spans="2:12" ht="16.5" customHeight="1" thickBot="1" x14ac:dyDescent="0.3">
      <c r="F24" s="698"/>
      <c r="G24" s="698"/>
      <c r="H24" s="698"/>
      <c r="I24" s="698"/>
      <c r="K24" s="616"/>
      <c r="L24" s="616"/>
    </row>
    <row r="25" spans="2:12" ht="16.5" customHeight="1" x14ac:dyDescent="0.25">
      <c r="F25" s="690" t="str">
        <f>'Competition Menu'!C12</f>
        <v>Team 2</v>
      </c>
      <c r="G25" s="691"/>
      <c r="H25" s="691"/>
      <c r="I25" s="692"/>
      <c r="K25" s="639"/>
      <c r="L25" s="639"/>
    </row>
    <row r="26" spans="2:12" ht="16.5" customHeight="1" thickBot="1" x14ac:dyDescent="0.3">
      <c r="F26" s="693"/>
      <c r="G26" s="694"/>
      <c r="H26" s="694"/>
      <c r="I26" s="695"/>
    </row>
    <row r="27" spans="2:12" ht="11.25" customHeight="1" thickBot="1" x14ac:dyDescent="0.3"/>
    <row r="28" spans="2:12" ht="36" customHeight="1" thickBot="1" x14ac:dyDescent="0.3">
      <c r="B28" s="576" t="s">
        <v>6184</v>
      </c>
      <c r="C28" s="586" t="s">
        <v>6191</v>
      </c>
      <c r="D28" s="315" t="s">
        <v>6181</v>
      </c>
      <c r="E28" s="315" t="s">
        <v>6182</v>
      </c>
      <c r="F28" s="315" t="s">
        <v>6183</v>
      </c>
      <c r="G28" s="315" t="s">
        <v>56</v>
      </c>
      <c r="H28" s="315" t="s">
        <v>57</v>
      </c>
      <c r="I28" s="315" t="s">
        <v>58</v>
      </c>
      <c r="J28" s="315" t="s">
        <v>59</v>
      </c>
      <c r="K28" s="315" t="s">
        <v>60</v>
      </c>
      <c r="L28" s="315" t="s">
        <v>61</v>
      </c>
    </row>
    <row r="29" spans="2:12" ht="31.5" customHeight="1" x14ac:dyDescent="0.25">
      <c r="B29" s="577">
        <v>1</v>
      </c>
      <c r="C29" s="575"/>
      <c r="D29" s="575"/>
      <c r="E29" s="575"/>
      <c r="F29" s="575"/>
      <c r="G29" s="575"/>
      <c r="H29" s="575"/>
      <c r="I29" s="575"/>
      <c r="J29" s="575"/>
      <c r="K29" s="575"/>
      <c r="L29" s="575"/>
    </row>
    <row r="30" spans="2:12" ht="31.5" customHeight="1" x14ac:dyDescent="0.25">
      <c r="B30" s="578">
        <v>2</v>
      </c>
      <c r="C30" s="573"/>
      <c r="D30" s="573"/>
      <c r="E30" s="573"/>
      <c r="F30" s="573"/>
      <c r="G30" s="573"/>
      <c r="H30" s="573"/>
      <c r="I30" s="573"/>
      <c r="J30" s="573"/>
      <c r="K30" s="573"/>
      <c r="L30" s="573"/>
    </row>
    <row r="31" spans="2:12" ht="31.5" customHeight="1" x14ac:dyDescent="0.25">
      <c r="B31" s="578">
        <v>3</v>
      </c>
      <c r="C31" s="573"/>
      <c r="D31" s="573"/>
      <c r="E31" s="573"/>
      <c r="F31" s="573"/>
      <c r="G31" s="573"/>
      <c r="H31" s="573"/>
      <c r="I31" s="573"/>
      <c r="J31" s="573"/>
      <c r="K31" s="573"/>
      <c r="L31" s="573"/>
    </row>
    <row r="32" spans="2:12" ht="31.5" customHeight="1" x14ac:dyDescent="0.25">
      <c r="B32" s="578">
        <v>4</v>
      </c>
      <c r="C32" s="573"/>
      <c r="D32" s="573"/>
      <c r="E32" s="573"/>
      <c r="F32" s="573"/>
      <c r="G32" s="573"/>
      <c r="H32" s="573"/>
      <c r="I32" s="573"/>
      <c r="J32" s="573"/>
      <c r="K32" s="573"/>
      <c r="L32" s="573"/>
    </row>
    <row r="33" spans="2:12" ht="31.5" customHeight="1" x14ac:dyDescent="0.25">
      <c r="B33" s="578">
        <v>5</v>
      </c>
      <c r="C33" s="573"/>
      <c r="D33" s="573"/>
      <c r="E33" s="573"/>
      <c r="F33" s="573"/>
      <c r="G33" s="573"/>
      <c r="H33" s="573"/>
      <c r="I33" s="573"/>
      <c r="J33" s="573"/>
      <c r="K33" s="573"/>
      <c r="L33" s="573"/>
    </row>
    <row r="34" spans="2:12" ht="31.5" customHeight="1" x14ac:dyDescent="0.25">
      <c r="B34" s="578">
        <v>6</v>
      </c>
      <c r="C34" s="573"/>
      <c r="D34" s="573"/>
      <c r="E34" s="573"/>
      <c r="F34" s="573"/>
      <c r="G34" s="573"/>
      <c r="H34" s="573"/>
      <c r="I34" s="573"/>
      <c r="J34" s="573"/>
      <c r="K34" s="573"/>
      <c r="L34" s="573"/>
    </row>
    <row r="35" spans="2:12" ht="31.5" customHeight="1" x14ac:dyDescent="0.25">
      <c r="B35" s="578">
        <v>7</v>
      </c>
      <c r="C35" s="573"/>
      <c r="D35" s="573"/>
      <c r="E35" s="573"/>
      <c r="F35" s="573"/>
      <c r="G35" s="573"/>
      <c r="H35" s="573"/>
      <c r="I35" s="573"/>
      <c r="J35" s="573"/>
      <c r="K35" s="573"/>
      <c r="L35" s="573"/>
    </row>
    <row r="36" spans="2:12" ht="31.5" customHeight="1" x14ac:dyDescent="0.25">
      <c r="B36" s="578">
        <v>8</v>
      </c>
      <c r="C36" s="573"/>
      <c r="D36" s="573"/>
      <c r="E36" s="573"/>
      <c r="F36" s="573"/>
      <c r="G36" s="573"/>
      <c r="H36" s="573"/>
      <c r="I36" s="573"/>
      <c r="J36" s="573"/>
      <c r="K36" s="573"/>
      <c r="L36" s="573"/>
    </row>
    <row r="37" spans="2:12" ht="31.5" customHeight="1" x14ac:dyDescent="0.25">
      <c r="B37" s="578">
        <v>9</v>
      </c>
      <c r="C37" s="573"/>
      <c r="D37" s="573"/>
      <c r="E37" s="573"/>
      <c r="F37" s="573"/>
      <c r="G37" s="573"/>
      <c r="H37" s="573"/>
      <c r="I37" s="573"/>
      <c r="J37" s="573"/>
      <c r="K37" s="573"/>
      <c r="L37" s="573"/>
    </row>
    <row r="38" spans="2:12" ht="31.5" customHeight="1" x14ac:dyDescent="0.25">
      <c r="B38" s="578">
        <v>10</v>
      </c>
      <c r="C38" s="573"/>
      <c r="D38" s="573"/>
      <c r="E38" s="573"/>
      <c r="F38" s="573"/>
      <c r="G38" s="573"/>
      <c r="H38" s="573"/>
      <c r="I38" s="573"/>
      <c r="J38" s="573"/>
      <c r="K38" s="573"/>
      <c r="L38" s="573"/>
    </row>
    <row r="39" spans="2:12" ht="31.5" customHeight="1" x14ac:dyDescent="0.25">
      <c r="B39" s="578">
        <v>11</v>
      </c>
      <c r="C39" s="573"/>
      <c r="D39" s="573"/>
      <c r="E39" s="573"/>
      <c r="F39" s="573"/>
      <c r="G39" s="573"/>
      <c r="H39" s="573"/>
      <c r="I39" s="573"/>
      <c r="J39" s="573"/>
      <c r="K39" s="573"/>
      <c r="L39" s="573"/>
    </row>
    <row r="40" spans="2:12" ht="31.5" customHeight="1" thickBot="1" x14ac:dyDescent="0.3">
      <c r="B40" s="579">
        <v>12</v>
      </c>
      <c r="C40" s="574"/>
      <c r="D40" s="574"/>
      <c r="E40" s="574"/>
      <c r="F40" s="574"/>
      <c r="G40" s="574"/>
      <c r="H40" s="574"/>
      <c r="I40" s="574"/>
      <c r="J40" s="574"/>
      <c r="K40" s="574"/>
      <c r="L40" s="574"/>
    </row>
    <row r="41" spans="2:12" ht="6" customHeight="1" x14ac:dyDescent="0.25"/>
    <row r="42" spans="2:12" ht="24" customHeight="1" x14ac:dyDescent="0.25">
      <c r="B42" s="700" t="s">
        <v>6190</v>
      </c>
      <c r="C42" s="700"/>
      <c r="D42" s="700"/>
      <c r="E42" s="700"/>
      <c r="F42" s="700"/>
      <c r="G42" s="700"/>
      <c r="H42" s="700"/>
      <c r="I42" s="700"/>
      <c r="J42" s="700"/>
      <c r="K42" s="700"/>
      <c r="L42" s="700"/>
    </row>
    <row r="43" spans="2:12" ht="24" customHeight="1" x14ac:dyDescent="0.25">
      <c r="B43" s="700"/>
      <c r="C43" s="700"/>
      <c r="D43" s="700"/>
      <c r="E43" s="700"/>
      <c r="F43" s="700"/>
      <c r="G43" s="700"/>
      <c r="H43" s="700"/>
      <c r="I43" s="700"/>
      <c r="J43" s="700"/>
      <c r="K43" s="700"/>
      <c r="L43" s="700"/>
    </row>
    <row r="44" spans="2:12" ht="16.5" customHeight="1" x14ac:dyDescent="0.25">
      <c r="F44" s="696" t="s">
        <v>6185</v>
      </c>
      <c r="G44" s="697"/>
      <c r="H44" s="697"/>
      <c r="I44" s="697"/>
      <c r="K44" s="699" t="s">
        <v>6180</v>
      </c>
      <c r="L44" s="616"/>
    </row>
    <row r="45" spans="2:12" ht="16.5" customHeight="1" thickBot="1" x14ac:dyDescent="0.3">
      <c r="F45" s="698"/>
      <c r="G45" s="698"/>
      <c r="H45" s="698"/>
      <c r="I45" s="698"/>
      <c r="K45" s="616"/>
      <c r="L45" s="616"/>
    </row>
    <row r="46" spans="2:12" ht="16.5" customHeight="1" x14ac:dyDescent="0.25">
      <c r="F46" s="690" t="str">
        <f>'Competition Menu'!C13</f>
        <v>Team 3</v>
      </c>
      <c r="G46" s="691"/>
      <c r="H46" s="691"/>
      <c r="I46" s="692"/>
      <c r="K46" s="639"/>
      <c r="L46" s="639"/>
    </row>
    <row r="47" spans="2:12" ht="16.5" customHeight="1" thickBot="1" x14ac:dyDescent="0.3">
      <c r="F47" s="693"/>
      <c r="G47" s="694"/>
      <c r="H47" s="694"/>
      <c r="I47" s="695"/>
    </row>
    <row r="48" spans="2:12" ht="11.25" customHeight="1" thickBot="1" x14ac:dyDescent="0.3"/>
    <row r="49" spans="2:12" ht="36" customHeight="1" thickBot="1" x14ac:dyDescent="0.3">
      <c r="B49" s="576" t="s">
        <v>6184</v>
      </c>
      <c r="C49" s="586" t="s">
        <v>6191</v>
      </c>
      <c r="D49" s="315" t="s">
        <v>6181</v>
      </c>
      <c r="E49" s="315" t="s">
        <v>6182</v>
      </c>
      <c r="F49" s="315" t="s">
        <v>6183</v>
      </c>
      <c r="G49" s="315" t="s">
        <v>56</v>
      </c>
      <c r="H49" s="315" t="s">
        <v>57</v>
      </c>
      <c r="I49" s="315" t="s">
        <v>58</v>
      </c>
      <c r="J49" s="315" t="s">
        <v>59</v>
      </c>
      <c r="K49" s="315" t="s">
        <v>60</v>
      </c>
      <c r="L49" s="315" t="s">
        <v>61</v>
      </c>
    </row>
    <row r="50" spans="2:12" ht="31.5" customHeight="1" x14ac:dyDescent="0.25">
      <c r="B50" s="577">
        <v>1</v>
      </c>
      <c r="C50" s="575"/>
      <c r="D50" s="575"/>
      <c r="E50" s="575"/>
      <c r="F50" s="575"/>
      <c r="G50" s="575"/>
      <c r="H50" s="575"/>
      <c r="I50" s="575"/>
      <c r="J50" s="575"/>
      <c r="K50" s="575"/>
      <c r="L50" s="575"/>
    </row>
    <row r="51" spans="2:12" ht="31.5" customHeight="1" x14ac:dyDescent="0.25">
      <c r="B51" s="578">
        <v>2</v>
      </c>
      <c r="C51" s="573"/>
      <c r="D51" s="573"/>
      <c r="E51" s="573"/>
      <c r="F51" s="573"/>
      <c r="G51" s="573"/>
      <c r="H51" s="573"/>
      <c r="I51" s="573"/>
      <c r="J51" s="573"/>
      <c r="K51" s="573"/>
      <c r="L51" s="573"/>
    </row>
    <row r="52" spans="2:12" ht="31.5" customHeight="1" x14ac:dyDescent="0.25">
      <c r="B52" s="578">
        <v>3</v>
      </c>
      <c r="C52" s="573"/>
      <c r="D52" s="573"/>
      <c r="E52" s="573"/>
      <c r="F52" s="573"/>
      <c r="G52" s="573"/>
      <c r="H52" s="573"/>
      <c r="I52" s="573"/>
      <c r="J52" s="573"/>
      <c r="K52" s="573"/>
      <c r="L52" s="573"/>
    </row>
    <row r="53" spans="2:12" ht="31.5" customHeight="1" x14ac:dyDescent="0.25">
      <c r="B53" s="578">
        <v>4</v>
      </c>
      <c r="C53" s="573"/>
      <c r="D53" s="573"/>
      <c r="E53" s="573"/>
      <c r="F53" s="573"/>
      <c r="G53" s="573"/>
      <c r="H53" s="573"/>
      <c r="I53" s="573"/>
      <c r="J53" s="573"/>
      <c r="K53" s="573"/>
      <c r="L53" s="573"/>
    </row>
    <row r="54" spans="2:12" ht="31.5" customHeight="1" x14ac:dyDescent="0.25">
      <c r="B54" s="578">
        <v>5</v>
      </c>
      <c r="C54" s="573"/>
      <c r="D54" s="573"/>
      <c r="E54" s="573"/>
      <c r="F54" s="573"/>
      <c r="G54" s="573"/>
      <c r="H54" s="573"/>
      <c r="I54" s="573"/>
      <c r="J54" s="573"/>
      <c r="K54" s="573"/>
      <c r="L54" s="573"/>
    </row>
    <row r="55" spans="2:12" ht="31.5" customHeight="1" x14ac:dyDescent="0.25">
      <c r="B55" s="578">
        <v>6</v>
      </c>
      <c r="C55" s="573"/>
      <c r="D55" s="573"/>
      <c r="E55" s="573"/>
      <c r="F55" s="573"/>
      <c r="G55" s="573"/>
      <c r="H55" s="573"/>
      <c r="I55" s="573"/>
      <c r="J55" s="573"/>
      <c r="K55" s="573"/>
      <c r="L55" s="573"/>
    </row>
    <row r="56" spans="2:12" ht="31.5" customHeight="1" x14ac:dyDescent="0.25">
      <c r="B56" s="578">
        <v>7</v>
      </c>
      <c r="C56" s="573"/>
      <c r="D56" s="573"/>
      <c r="E56" s="573"/>
      <c r="F56" s="573"/>
      <c r="G56" s="573"/>
      <c r="H56" s="573"/>
      <c r="I56" s="573"/>
      <c r="J56" s="573"/>
      <c r="K56" s="573"/>
      <c r="L56" s="573"/>
    </row>
    <row r="57" spans="2:12" ht="31.5" customHeight="1" x14ac:dyDescent="0.25">
      <c r="B57" s="578">
        <v>8</v>
      </c>
      <c r="C57" s="573"/>
      <c r="D57" s="573"/>
      <c r="E57" s="573"/>
      <c r="F57" s="573"/>
      <c r="G57" s="573"/>
      <c r="H57" s="573"/>
      <c r="I57" s="573"/>
      <c r="J57" s="573"/>
      <c r="K57" s="573"/>
      <c r="L57" s="573"/>
    </row>
    <row r="58" spans="2:12" ht="31.5" customHeight="1" x14ac:dyDescent="0.25">
      <c r="B58" s="578">
        <v>9</v>
      </c>
      <c r="C58" s="573"/>
      <c r="D58" s="573"/>
      <c r="E58" s="573"/>
      <c r="F58" s="573"/>
      <c r="G58" s="573"/>
      <c r="H58" s="573"/>
      <c r="I58" s="573"/>
      <c r="J58" s="573"/>
      <c r="K58" s="573"/>
      <c r="L58" s="573"/>
    </row>
    <row r="59" spans="2:12" ht="31.5" customHeight="1" x14ac:dyDescent="0.25">
      <c r="B59" s="578">
        <v>10</v>
      </c>
      <c r="C59" s="573"/>
      <c r="D59" s="573"/>
      <c r="E59" s="573"/>
      <c r="F59" s="573"/>
      <c r="G59" s="573"/>
      <c r="H59" s="573"/>
      <c r="I59" s="573"/>
      <c r="J59" s="573"/>
      <c r="K59" s="573"/>
      <c r="L59" s="573"/>
    </row>
    <row r="60" spans="2:12" ht="31.5" customHeight="1" x14ac:dyDescent="0.25">
      <c r="B60" s="578">
        <v>11</v>
      </c>
      <c r="C60" s="573"/>
      <c r="D60" s="573"/>
      <c r="E60" s="573"/>
      <c r="F60" s="573"/>
      <c r="G60" s="573"/>
      <c r="H60" s="573"/>
      <c r="I60" s="573"/>
      <c r="J60" s="573"/>
      <c r="K60" s="573"/>
      <c r="L60" s="573"/>
    </row>
    <row r="61" spans="2:12" ht="31.5" customHeight="1" thickBot="1" x14ac:dyDescent="0.3">
      <c r="B61" s="579">
        <v>12</v>
      </c>
      <c r="C61" s="574"/>
      <c r="D61" s="574"/>
      <c r="E61" s="574"/>
      <c r="F61" s="574"/>
      <c r="G61" s="574"/>
      <c r="H61" s="574"/>
      <c r="I61" s="574"/>
      <c r="J61" s="574"/>
      <c r="K61" s="574"/>
      <c r="L61" s="574"/>
    </row>
    <row r="62" spans="2:12" ht="6" customHeight="1" x14ac:dyDescent="0.25"/>
    <row r="63" spans="2:12" ht="24" customHeight="1" x14ac:dyDescent="0.25">
      <c r="B63" s="700" t="s">
        <v>6190</v>
      </c>
      <c r="C63" s="700"/>
      <c r="D63" s="700"/>
      <c r="E63" s="700"/>
      <c r="F63" s="700"/>
      <c r="G63" s="700"/>
      <c r="H63" s="700"/>
      <c r="I63" s="700"/>
      <c r="J63" s="700"/>
      <c r="K63" s="700"/>
      <c r="L63" s="700"/>
    </row>
    <row r="64" spans="2:12" ht="24" customHeight="1" x14ac:dyDescent="0.25">
      <c r="B64" s="700"/>
      <c r="C64" s="700"/>
      <c r="D64" s="700"/>
      <c r="E64" s="700"/>
      <c r="F64" s="700"/>
      <c r="G64" s="700"/>
      <c r="H64" s="700"/>
      <c r="I64" s="700"/>
      <c r="J64" s="700"/>
      <c r="K64" s="700"/>
      <c r="L64" s="700"/>
    </row>
    <row r="65" spans="2:12" ht="16.5" customHeight="1" x14ac:dyDescent="0.25">
      <c r="F65" s="696" t="s">
        <v>6185</v>
      </c>
      <c r="G65" s="697"/>
      <c r="H65" s="697"/>
      <c r="I65" s="697"/>
      <c r="K65" s="699" t="s">
        <v>6180</v>
      </c>
      <c r="L65" s="616"/>
    </row>
    <row r="66" spans="2:12" ht="16.5" customHeight="1" thickBot="1" x14ac:dyDescent="0.3">
      <c r="F66" s="698"/>
      <c r="G66" s="698"/>
      <c r="H66" s="698"/>
      <c r="I66" s="698"/>
      <c r="K66" s="616"/>
      <c r="L66" s="616"/>
    </row>
    <row r="67" spans="2:12" ht="16.5" customHeight="1" x14ac:dyDescent="0.25">
      <c r="F67" s="690" t="str">
        <f>'Competition Menu'!C14</f>
        <v>Team 4</v>
      </c>
      <c r="G67" s="691"/>
      <c r="H67" s="691"/>
      <c r="I67" s="692"/>
      <c r="K67" s="639"/>
      <c r="L67" s="639"/>
    </row>
    <row r="68" spans="2:12" ht="16.5" customHeight="1" thickBot="1" x14ac:dyDescent="0.3">
      <c r="F68" s="693"/>
      <c r="G68" s="694"/>
      <c r="H68" s="694"/>
      <c r="I68" s="695"/>
    </row>
    <row r="69" spans="2:12" ht="11.25" customHeight="1" thickBot="1" x14ac:dyDescent="0.3"/>
    <row r="70" spans="2:12" ht="36" customHeight="1" thickBot="1" x14ac:dyDescent="0.3">
      <c r="B70" s="576" t="s">
        <v>6184</v>
      </c>
      <c r="C70" s="586" t="s">
        <v>6191</v>
      </c>
      <c r="D70" s="315" t="s">
        <v>6181</v>
      </c>
      <c r="E70" s="315" t="s">
        <v>6182</v>
      </c>
      <c r="F70" s="315" t="s">
        <v>6183</v>
      </c>
      <c r="G70" s="315" t="s">
        <v>56</v>
      </c>
      <c r="H70" s="315" t="s">
        <v>57</v>
      </c>
      <c r="I70" s="315" t="s">
        <v>58</v>
      </c>
      <c r="J70" s="315" t="s">
        <v>59</v>
      </c>
      <c r="K70" s="315" t="s">
        <v>60</v>
      </c>
      <c r="L70" s="315" t="s">
        <v>61</v>
      </c>
    </row>
    <row r="71" spans="2:12" ht="31.5" customHeight="1" x14ac:dyDescent="0.25">
      <c r="B71" s="577">
        <v>1</v>
      </c>
      <c r="C71" s="575"/>
      <c r="D71" s="575"/>
      <c r="E71" s="575"/>
      <c r="F71" s="575"/>
      <c r="G71" s="575"/>
      <c r="H71" s="575"/>
      <c r="I71" s="575"/>
      <c r="J71" s="575"/>
      <c r="K71" s="575"/>
      <c r="L71" s="575"/>
    </row>
    <row r="72" spans="2:12" ht="31.5" customHeight="1" x14ac:dyDescent="0.25">
      <c r="B72" s="578">
        <v>2</v>
      </c>
      <c r="C72" s="573"/>
      <c r="D72" s="573"/>
      <c r="E72" s="573"/>
      <c r="F72" s="573"/>
      <c r="G72" s="573"/>
      <c r="H72" s="573"/>
      <c r="I72" s="573"/>
      <c r="J72" s="573"/>
      <c r="K72" s="573"/>
      <c r="L72" s="573"/>
    </row>
    <row r="73" spans="2:12" ht="31.5" customHeight="1" x14ac:dyDescent="0.25">
      <c r="B73" s="578">
        <v>3</v>
      </c>
      <c r="C73" s="573"/>
      <c r="D73" s="573"/>
      <c r="E73" s="573"/>
      <c r="F73" s="573"/>
      <c r="G73" s="573"/>
      <c r="H73" s="573"/>
      <c r="I73" s="573"/>
      <c r="J73" s="573"/>
      <c r="K73" s="573"/>
      <c r="L73" s="573"/>
    </row>
    <row r="74" spans="2:12" ht="31.5" customHeight="1" x14ac:dyDescent="0.25">
      <c r="B74" s="578">
        <v>4</v>
      </c>
      <c r="C74" s="573"/>
      <c r="D74" s="573"/>
      <c r="E74" s="573"/>
      <c r="F74" s="573"/>
      <c r="G74" s="573"/>
      <c r="H74" s="573"/>
      <c r="I74" s="573"/>
      <c r="J74" s="573"/>
      <c r="K74" s="573"/>
      <c r="L74" s="573"/>
    </row>
    <row r="75" spans="2:12" ht="31.5" customHeight="1" x14ac:dyDescent="0.25">
      <c r="B75" s="578">
        <v>5</v>
      </c>
      <c r="C75" s="573"/>
      <c r="D75" s="573"/>
      <c r="E75" s="573"/>
      <c r="F75" s="573"/>
      <c r="G75" s="573"/>
      <c r="H75" s="573"/>
      <c r="I75" s="573"/>
      <c r="J75" s="573"/>
      <c r="K75" s="573"/>
      <c r="L75" s="573"/>
    </row>
    <row r="76" spans="2:12" ht="31.5" customHeight="1" x14ac:dyDescent="0.25">
      <c r="B76" s="578">
        <v>6</v>
      </c>
      <c r="C76" s="573"/>
      <c r="D76" s="573"/>
      <c r="E76" s="573"/>
      <c r="F76" s="573"/>
      <c r="G76" s="573"/>
      <c r="H76" s="573"/>
      <c r="I76" s="573"/>
      <c r="J76" s="573"/>
      <c r="K76" s="573"/>
      <c r="L76" s="573"/>
    </row>
    <row r="77" spans="2:12" ht="31.5" customHeight="1" x14ac:dyDescent="0.25">
      <c r="B77" s="578">
        <v>7</v>
      </c>
      <c r="C77" s="573"/>
      <c r="D77" s="573"/>
      <c r="E77" s="573"/>
      <c r="F77" s="573"/>
      <c r="G77" s="573"/>
      <c r="H77" s="573"/>
      <c r="I77" s="573"/>
      <c r="J77" s="573"/>
      <c r="K77" s="573"/>
      <c r="L77" s="573"/>
    </row>
    <row r="78" spans="2:12" ht="31.5" customHeight="1" x14ac:dyDescent="0.25">
      <c r="B78" s="578">
        <v>8</v>
      </c>
      <c r="C78" s="573"/>
      <c r="D78" s="573"/>
      <c r="E78" s="573"/>
      <c r="F78" s="573"/>
      <c r="G78" s="573"/>
      <c r="H78" s="573"/>
      <c r="I78" s="573"/>
      <c r="J78" s="573"/>
      <c r="K78" s="573"/>
      <c r="L78" s="573"/>
    </row>
    <row r="79" spans="2:12" ht="31.5" customHeight="1" x14ac:dyDescent="0.25">
      <c r="B79" s="578">
        <v>9</v>
      </c>
      <c r="C79" s="573"/>
      <c r="D79" s="573"/>
      <c r="E79" s="573"/>
      <c r="F79" s="573"/>
      <c r="G79" s="573"/>
      <c r="H79" s="573"/>
      <c r="I79" s="573"/>
      <c r="J79" s="573"/>
      <c r="K79" s="573"/>
      <c r="L79" s="573"/>
    </row>
    <row r="80" spans="2:12" ht="31.5" customHeight="1" x14ac:dyDescent="0.25">
      <c r="B80" s="578">
        <v>10</v>
      </c>
      <c r="C80" s="573"/>
      <c r="D80" s="573"/>
      <c r="E80" s="573"/>
      <c r="F80" s="573"/>
      <c r="G80" s="573"/>
      <c r="H80" s="573"/>
      <c r="I80" s="573"/>
      <c r="J80" s="573"/>
      <c r="K80" s="573"/>
      <c r="L80" s="573"/>
    </row>
    <row r="81" spans="2:12" ht="31.5" customHeight="1" x14ac:dyDescent="0.25">
      <c r="B81" s="578">
        <v>11</v>
      </c>
      <c r="C81" s="573"/>
      <c r="D81" s="573"/>
      <c r="E81" s="573"/>
      <c r="F81" s="573"/>
      <c r="G81" s="573"/>
      <c r="H81" s="573"/>
      <c r="I81" s="573"/>
      <c r="J81" s="573"/>
      <c r="K81" s="573"/>
      <c r="L81" s="573"/>
    </row>
    <row r="82" spans="2:12" ht="31.5" customHeight="1" thickBot="1" x14ac:dyDescent="0.3">
      <c r="B82" s="579">
        <v>12</v>
      </c>
      <c r="C82" s="574"/>
      <c r="D82" s="574"/>
      <c r="E82" s="574"/>
      <c r="F82" s="574"/>
      <c r="G82" s="574"/>
      <c r="H82" s="574"/>
      <c r="I82" s="574"/>
      <c r="J82" s="574"/>
      <c r="K82" s="574"/>
      <c r="L82" s="574"/>
    </row>
    <row r="83" spans="2:12" ht="6" customHeight="1" x14ac:dyDescent="0.25"/>
    <row r="84" spans="2:12" ht="24" customHeight="1" x14ac:dyDescent="0.25">
      <c r="B84" s="700" t="s">
        <v>6190</v>
      </c>
      <c r="C84" s="700"/>
      <c r="D84" s="700"/>
      <c r="E84" s="700"/>
      <c r="F84" s="700"/>
      <c r="G84" s="700"/>
      <c r="H84" s="700"/>
      <c r="I84" s="700"/>
      <c r="J84" s="700"/>
      <c r="K84" s="700"/>
      <c r="L84" s="700"/>
    </row>
    <row r="85" spans="2:12" ht="24" customHeight="1" x14ac:dyDescent="0.25">
      <c r="B85" s="700"/>
      <c r="C85" s="700"/>
      <c r="D85" s="700"/>
      <c r="E85" s="700"/>
      <c r="F85" s="700"/>
      <c r="G85" s="700"/>
      <c r="H85" s="700"/>
      <c r="I85" s="700"/>
      <c r="J85" s="700"/>
      <c r="K85" s="700"/>
      <c r="L85" s="700"/>
    </row>
    <row r="86" spans="2:12" ht="16.5" customHeight="1" x14ac:dyDescent="0.25">
      <c r="F86" s="696" t="s">
        <v>6185</v>
      </c>
      <c r="G86" s="697"/>
      <c r="H86" s="697"/>
      <c r="I86" s="697"/>
      <c r="K86" s="699" t="s">
        <v>6180</v>
      </c>
      <c r="L86" s="616"/>
    </row>
    <row r="87" spans="2:12" ht="16.5" customHeight="1" thickBot="1" x14ac:dyDescent="0.3">
      <c r="F87" s="698"/>
      <c r="G87" s="698"/>
      <c r="H87" s="698"/>
      <c r="I87" s="698"/>
      <c r="K87" s="616"/>
      <c r="L87" s="616"/>
    </row>
    <row r="88" spans="2:12" ht="16.5" customHeight="1" x14ac:dyDescent="0.25">
      <c r="F88" s="690" t="str">
        <f>'Competition Menu'!C15</f>
        <v>Team 5</v>
      </c>
      <c r="G88" s="691"/>
      <c r="H88" s="691"/>
      <c r="I88" s="692"/>
      <c r="K88" s="639"/>
      <c r="L88" s="639"/>
    </row>
    <row r="89" spans="2:12" ht="16.5" customHeight="1" thickBot="1" x14ac:dyDescent="0.3">
      <c r="F89" s="693"/>
      <c r="G89" s="694"/>
      <c r="H89" s="694"/>
      <c r="I89" s="695"/>
    </row>
    <row r="90" spans="2:12" ht="11.25" customHeight="1" thickBot="1" x14ac:dyDescent="0.3"/>
    <row r="91" spans="2:12" ht="36" customHeight="1" thickBot="1" x14ac:dyDescent="0.3">
      <c r="B91" s="576" t="s">
        <v>6184</v>
      </c>
      <c r="C91" s="586" t="s">
        <v>6191</v>
      </c>
      <c r="D91" s="315" t="s">
        <v>6181</v>
      </c>
      <c r="E91" s="315" t="s">
        <v>6182</v>
      </c>
      <c r="F91" s="315" t="s">
        <v>6183</v>
      </c>
      <c r="G91" s="315" t="s">
        <v>56</v>
      </c>
      <c r="H91" s="315" t="s">
        <v>57</v>
      </c>
      <c r="I91" s="315" t="s">
        <v>58</v>
      </c>
      <c r="J91" s="315" t="s">
        <v>59</v>
      </c>
      <c r="K91" s="315" t="s">
        <v>60</v>
      </c>
      <c r="L91" s="315" t="s">
        <v>61</v>
      </c>
    </row>
    <row r="92" spans="2:12" ht="31.5" customHeight="1" x14ac:dyDescent="0.25">
      <c r="B92" s="577">
        <v>1</v>
      </c>
      <c r="C92" s="575"/>
      <c r="D92" s="575"/>
      <c r="E92" s="575"/>
      <c r="F92" s="575"/>
      <c r="G92" s="575"/>
      <c r="H92" s="575"/>
      <c r="I92" s="575"/>
      <c r="J92" s="575"/>
      <c r="K92" s="575"/>
      <c r="L92" s="575"/>
    </row>
    <row r="93" spans="2:12" ht="31.5" customHeight="1" x14ac:dyDescent="0.25">
      <c r="B93" s="578">
        <v>2</v>
      </c>
      <c r="C93" s="573"/>
      <c r="D93" s="573"/>
      <c r="E93" s="573"/>
      <c r="F93" s="573"/>
      <c r="G93" s="573"/>
      <c r="H93" s="573"/>
      <c r="I93" s="573"/>
      <c r="J93" s="573"/>
      <c r="K93" s="573"/>
      <c r="L93" s="573"/>
    </row>
    <row r="94" spans="2:12" ht="31.5" customHeight="1" x14ac:dyDescent="0.25">
      <c r="B94" s="578">
        <v>3</v>
      </c>
      <c r="C94" s="573"/>
      <c r="D94" s="573"/>
      <c r="E94" s="573"/>
      <c r="F94" s="573"/>
      <c r="G94" s="573"/>
      <c r="H94" s="573"/>
      <c r="I94" s="573"/>
      <c r="J94" s="573"/>
      <c r="K94" s="573"/>
      <c r="L94" s="573"/>
    </row>
    <row r="95" spans="2:12" ht="31.5" customHeight="1" x14ac:dyDescent="0.25">
      <c r="B95" s="578">
        <v>4</v>
      </c>
      <c r="C95" s="573"/>
      <c r="D95" s="573"/>
      <c r="E95" s="573"/>
      <c r="F95" s="573"/>
      <c r="G95" s="573"/>
      <c r="H95" s="573"/>
      <c r="I95" s="573"/>
      <c r="J95" s="573"/>
      <c r="K95" s="573"/>
      <c r="L95" s="573"/>
    </row>
    <row r="96" spans="2:12" ht="31.5" customHeight="1" x14ac:dyDescent="0.25">
      <c r="B96" s="578">
        <v>5</v>
      </c>
      <c r="C96" s="573"/>
      <c r="D96" s="573"/>
      <c r="E96" s="573"/>
      <c r="F96" s="573"/>
      <c r="G96" s="573"/>
      <c r="H96" s="573"/>
      <c r="I96" s="573"/>
      <c r="J96" s="573"/>
      <c r="K96" s="573"/>
      <c r="L96" s="573"/>
    </row>
    <row r="97" spans="2:12" ht="31.5" customHeight="1" x14ac:dyDescent="0.25">
      <c r="B97" s="578">
        <v>6</v>
      </c>
      <c r="C97" s="573"/>
      <c r="D97" s="573"/>
      <c r="E97" s="573"/>
      <c r="F97" s="573"/>
      <c r="G97" s="573"/>
      <c r="H97" s="573"/>
      <c r="I97" s="573"/>
      <c r="J97" s="573"/>
      <c r="K97" s="573"/>
      <c r="L97" s="573"/>
    </row>
    <row r="98" spans="2:12" ht="31.5" customHeight="1" x14ac:dyDescent="0.25">
      <c r="B98" s="578">
        <v>7</v>
      </c>
      <c r="C98" s="573"/>
      <c r="D98" s="573"/>
      <c r="E98" s="573"/>
      <c r="F98" s="573"/>
      <c r="G98" s="573"/>
      <c r="H98" s="573"/>
      <c r="I98" s="573"/>
      <c r="J98" s="573"/>
      <c r="K98" s="573"/>
      <c r="L98" s="573"/>
    </row>
    <row r="99" spans="2:12" ht="31.5" customHeight="1" x14ac:dyDescent="0.25">
      <c r="B99" s="578">
        <v>8</v>
      </c>
      <c r="C99" s="573"/>
      <c r="D99" s="573"/>
      <c r="E99" s="573"/>
      <c r="F99" s="573"/>
      <c r="G99" s="573"/>
      <c r="H99" s="573"/>
      <c r="I99" s="573"/>
      <c r="J99" s="573"/>
      <c r="K99" s="573"/>
      <c r="L99" s="573"/>
    </row>
    <row r="100" spans="2:12" ht="31.5" customHeight="1" x14ac:dyDescent="0.25">
      <c r="B100" s="578">
        <v>9</v>
      </c>
      <c r="C100" s="573"/>
      <c r="D100" s="573"/>
      <c r="E100" s="573"/>
      <c r="F100" s="573"/>
      <c r="G100" s="573"/>
      <c r="H100" s="573"/>
      <c r="I100" s="573"/>
      <c r="J100" s="573"/>
      <c r="K100" s="573"/>
      <c r="L100" s="573"/>
    </row>
    <row r="101" spans="2:12" ht="31.5" customHeight="1" x14ac:dyDescent="0.25">
      <c r="B101" s="578">
        <v>10</v>
      </c>
      <c r="C101" s="573"/>
      <c r="D101" s="573"/>
      <c r="E101" s="573"/>
      <c r="F101" s="573"/>
      <c r="G101" s="573"/>
      <c r="H101" s="573"/>
      <c r="I101" s="573"/>
      <c r="J101" s="573"/>
      <c r="K101" s="573"/>
      <c r="L101" s="573"/>
    </row>
    <row r="102" spans="2:12" ht="31.5" customHeight="1" x14ac:dyDescent="0.25">
      <c r="B102" s="578">
        <v>11</v>
      </c>
      <c r="C102" s="573"/>
      <c r="D102" s="573"/>
      <c r="E102" s="573"/>
      <c r="F102" s="573"/>
      <c r="G102" s="573"/>
      <c r="H102" s="573"/>
      <c r="I102" s="573"/>
      <c r="J102" s="573"/>
      <c r="K102" s="573"/>
      <c r="L102" s="573"/>
    </row>
    <row r="103" spans="2:12" ht="31.5" customHeight="1" thickBot="1" x14ac:dyDescent="0.3">
      <c r="B103" s="579">
        <v>12</v>
      </c>
      <c r="C103" s="574"/>
      <c r="D103" s="574"/>
      <c r="E103" s="574"/>
      <c r="F103" s="574"/>
      <c r="G103" s="574"/>
      <c r="H103" s="574"/>
      <c r="I103" s="574"/>
      <c r="J103" s="574"/>
      <c r="K103" s="574"/>
      <c r="L103" s="574"/>
    </row>
    <row r="104" spans="2:12" ht="6" customHeight="1" x14ac:dyDescent="0.25"/>
    <row r="105" spans="2:12" ht="24" customHeight="1" x14ac:dyDescent="0.25">
      <c r="B105" s="700" t="s">
        <v>6190</v>
      </c>
      <c r="C105" s="700"/>
      <c r="D105" s="700"/>
      <c r="E105" s="700"/>
      <c r="F105" s="700"/>
      <c r="G105" s="700"/>
      <c r="H105" s="700"/>
      <c r="I105" s="700"/>
      <c r="J105" s="700"/>
      <c r="K105" s="700"/>
      <c r="L105" s="700"/>
    </row>
    <row r="106" spans="2:12" ht="24" customHeight="1" x14ac:dyDescent="0.25">
      <c r="B106" s="700"/>
      <c r="C106" s="700"/>
      <c r="D106" s="700"/>
      <c r="E106" s="700"/>
      <c r="F106" s="700"/>
      <c r="G106" s="700"/>
      <c r="H106" s="700"/>
      <c r="I106" s="700"/>
      <c r="J106" s="700"/>
      <c r="K106" s="700"/>
      <c r="L106" s="700"/>
    </row>
    <row r="107" spans="2:12" ht="16.5" customHeight="1" x14ac:dyDescent="0.25">
      <c r="F107" s="696" t="s">
        <v>6185</v>
      </c>
      <c r="G107" s="697"/>
      <c r="H107" s="697"/>
      <c r="I107" s="697"/>
      <c r="K107" s="699" t="s">
        <v>6180</v>
      </c>
      <c r="L107" s="616"/>
    </row>
    <row r="108" spans="2:12" ht="16.5" customHeight="1" thickBot="1" x14ac:dyDescent="0.3">
      <c r="F108" s="698"/>
      <c r="G108" s="698"/>
      <c r="H108" s="698"/>
      <c r="I108" s="698"/>
      <c r="K108" s="616"/>
      <c r="L108" s="616"/>
    </row>
    <row r="109" spans="2:12" ht="16.5" customHeight="1" x14ac:dyDescent="0.25">
      <c r="F109" s="690" t="str">
        <f>'Competition Menu'!C16</f>
        <v>Team 6</v>
      </c>
      <c r="G109" s="691"/>
      <c r="H109" s="691"/>
      <c r="I109" s="692"/>
      <c r="K109" s="639"/>
      <c r="L109" s="639"/>
    </row>
    <row r="110" spans="2:12" ht="16.5" customHeight="1" thickBot="1" x14ac:dyDescent="0.3">
      <c r="F110" s="693"/>
      <c r="G110" s="694"/>
      <c r="H110" s="694"/>
      <c r="I110" s="695"/>
    </row>
    <row r="111" spans="2:12" ht="11.25" customHeight="1" thickBot="1" x14ac:dyDescent="0.3"/>
    <row r="112" spans="2:12" ht="36" customHeight="1" thickBot="1" x14ac:dyDescent="0.3">
      <c r="B112" s="576" t="s">
        <v>6184</v>
      </c>
      <c r="C112" s="586" t="s">
        <v>6191</v>
      </c>
      <c r="D112" s="315" t="s">
        <v>6181</v>
      </c>
      <c r="E112" s="315" t="s">
        <v>6182</v>
      </c>
      <c r="F112" s="315" t="s">
        <v>6183</v>
      </c>
      <c r="G112" s="315" t="s">
        <v>56</v>
      </c>
      <c r="H112" s="315" t="s">
        <v>57</v>
      </c>
      <c r="I112" s="315" t="s">
        <v>58</v>
      </c>
      <c r="J112" s="315" t="s">
        <v>59</v>
      </c>
      <c r="K112" s="315" t="s">
        <v>60</v>
      </c>
      <c r="L112" s="315" t="s">
        <v>61</v>
      </c>
    </row>
    <row r="113" spans="2:12" ht="31.5" customHeight="1" x14ac:dyDescent="0.25">
      <c r="B113" s="577">
        <v>1</v>
      </c>
      <c r="C113" s="575"/>
      <c r="D113" s="575"/>
      <c r="E113" s="575"/>
      <c r="F113" s="575"/>
      <c r="G113" s="575"/>
      <c r="H113" s="575"/>
      <c r="I113" s="575"/>
      <c r="J113" s="575"/>
      <c r="K113" s="575"/>
      <c r="L113" s="575"/>
    </row>
    <row r="114" spans="2:12" ht="31.5" customHeight="1" x14ac:dyDescent="0.25">
      <c r="B114" s="578">
        <v>2</v>
      </c>
      <c r="C114" s="573"/>
      <c r="D114" s="573"/>
      <c r="E114" s="573"/>
      <c r="F114" s="573"/>
      <c r="G114" s="573"/>
      <c r="H114" s="573"/>
      <c r="I114" s="573"/>
      <c r="J114" s="573"/>
      <c r="K114" s="573"/>
      <c r="L114" s="573"/>
    </row>
    <row r="115" spans="2:12" ht="31.5" customHeight="1" x14ac:dyDescent="0.25">
      <c r="B115" s="578">
        <v>3</v>
      </c>
      <c r="C115" s="573"/>
      <c r="D115" s="573"/>
      <c r="E115" s="573"/>
      <c r="F115" s="573"/>
      <c r="G115" s="573"/>
      <c r="H115" s="573"/>
      <c r="I115" s="573"/>
      <c r="J115" s="573"/>
      <c r="K115" s="573"/>
      <c r="L115" s="573"/>
    </row>
    <row r="116" spans="2:12" ht="31.5" customHeight="1" x14ac:dyDescent="0.25">
      <c r="B116" s="578">
        <v>4</v>
      </c>
      <c r="C116" s="573"/>
      <c r="D116" s="573"/>
      <c r="E116" s="573"/>
      <c r="F116" s="573"/>
      <c r="G116" s="573"/>
      <c r="H116" s="573"/>
      <c r="I116" s="573"/>
      <c r="J116" s="573"/>
      <c r="K116" s="573"/>
      <c r="L116" s="573"/>
    </row>
    <row r="117" spans="2:12" ht="31.5" customHeight="1" x14ac:dyDescent="0.25">
      <c r="B117" s="578">
        <v>5</v>
      </c>
      <c r="C117" s="573"/>
      <c r="D117" s="573"/>
      <c r="E117" s="573"/>
      <c r="F117" s="573"/>
      <c r="G117" s="573"/>
      <c r="H117" s="573"/>
      <c r="I117" s="573"/>
      <c r="J117" s="573"/>
      <c r="K117" s="573"/>
      <c r="L117" s="573"/>
    </row>
    <row r="118" spans="2:12" ht="31.5" customHeight="1" x14ac:dyDescent="0.25">
      <c r="B118" s="578">
        <v>6</v>
      </c>
      <c r="C118" s="573"/>
      <c r="D118" s="573"/>
      <c r="E118" s="573"/>
      <c r="F118" s="573"/>
      <c r="G118" s="573"/>
      <c r="H118" s="573"/>
      <c r="I118" s="573"/>
      <c r="J118" s="573"/>
      <c r="K118" s="573"/>
      <c r="L118" s="573"/>
    </row>
    <row r="119" spans="2:12" ht="31.5" customHeight="1" x14ac:dyDescent="0.25">
      <c r="B119" s="578">
        <v>7</v>
      </c>
      <c r="C119" s="573"/>
      <c r="D119" s="573"/>
      <c r="E119" s="573"/>
      <c r="F119" s="573"/>
      <c r="G119" s="573"/>
      <c r="H119" s="573"/>
      <c r="I119" s="573"/>
      <c r="J119" s="573"/>
      <c r="K119" s="573"/>
      <c r="L119" s="573"/>
    </row>
    <row r="120" spans="2:12" ht="31.5" customHeight="1" x14ac:dyDescent="0.25">
      <c r="B120" s="578">
        <v>8</v>
      </c>
      <c r="C120" s="573"/>
      <c r="D120" s="573"/>
      <c r="E120" s="573"/>
      <c r="F120" s="573"/>
      <c r="G120" s="573"/>
      <c r="H120" s="573"/>
      <c r="I120" s="573"/>
      <c r="J120" s="573"/>
      <c r="K120" s="573"/>
      <c r="L120" s="573"/>
    </row>
    <row r="121" spans="2:12" ht="31.5" customHeight="1" x14ac:dyDescent="0.25">
      <c r="B121" s="578">
        <v>9</v>
      </c>
      <c r="C121" s="573"/>
      <c r="D121" s="573"/>
      <c r="E121" s="573"/>
      <c r="F121" s="573"/>
      <c r="G121" s="573"/>
      <c r="H121" s="573"/>
      <c r="I121" s="573"/>
      <c r="J121" s="573"/>
      <c r="K121" s="573"/>
      <c r="L121" s="573"/>
    </row>
    <row r="122" spans="2:12" ht="31.5" customHeight="1" x14ac:dyDescent="0.25">
      <c r="B122" s="578">
        <v>10</v>
      </c>
      <c r="C122" s="573"/>
      <c r="D122" s="573"/>
      <c r="E122" s="573"/>
      <c r="F122" s="573"/>
      <c r="G122" s="573"/>
      <c r="H122" s="573"/>
      <c r="I122" s="573"/>
      <c r="J122" s="573"/>
      <c r="K122" s="573"/>
      <c r="L122" s="573"/>
    </row>
    <row r="123" spans="2:12" ht="31.5" customHeight="1" x14ac:dyDescent="0.25">
      <c r="B123" s="578">
        <v>11</v>
      </c>
      <c r="C123" s="573"/>
      <c r="D123" s="573"/>
      <c r="E123" s="573"/>
      <c r="F123" s="573"/>
      <c r="G123" s="573"/>
      <c r="H123" s="573"/>
      <c r="I123" s="573"/>
      <c r="J123" s="573"/>
      <c r="K123" s="573"/>
      <c r="L123" s="573"/>
    </row>
    <row r="124" spans="2:12" ht="31.5" customHeight="1" thickBot="1" x14ac:dyDescent="0.3">
      <c r="B124" s="579">
        <v>12</v>
      </c>
      <c r="C124" s="574"/>
      <c r="D124" s="574"/>
      <c r="E124" s="574"/>
      <c r="F124" s="574"/>
      <c r="G124" s="574"/>
      <c r="H124" s="574"/>
      <c r="I124" s="574"/>
      <c r="J124" s="574"/>
      <c r="K124" s="574"/>
      <c r="L124" s="574"/>
    </row>
    <row r="125" spans="2:12" ht="6" customHeight="1" x14ac:dyDescent="0.25"/>
    <row r="126" spans="2:12" ht="24" customHeight="1" x14ac:dyDescent="0.25">
      <c r="B126" s="700" t="s">
        <v>6190</v>
      </c>
      <c r="C126" s="700"/>
      <c r="D126" s="700"/>
      <c r="E126" s="700"/>
      <c r="F126" s="700"/>
      <c r="G126" s="700"/>
      <c r="H126" s="700"/>
      <c r="I126" s="700"/>
      <c r="J126" s="700"/>
      <c r="K126" s="700"/>
      <c r="L126" s="700"/>
    </row>
    <row r="127" spans="2:12" ht="24" customHeight="1" x14ac:dyDescent="0.25">
      <c r="B127" s="700"/>
      <c r="C127" s="700"/>
      <c r="D127" s="700"/>
      <c r="E127" s="700"/>
      <c r="F127" s="700"/>
      <c r="G127" s="700"/>
      <c r="H127" s="700"/>
      <c r="I127" s="700"/>
      <c r="J127" s="700"/>
      <c r="K127" s="700"/>
      <c r="L127" s="700"/>
    </row>
    <row r="128" spans="2:12" ht="16.5" customHeight="1" x14ac:dyDescent="0.25">
      <c r="F128" s="696" t="s">
        <v>6185</v>
      </c>
      <c r="G128" s="697"/>
      <c r="H128" s="697"/>
      <c r="I128" s="697"/>
      <c r="K128" s="699" t="s">
        <v>6180</v>
      </c>
      <c r="L128" s="616"/>
    </row>
    <row r="129" spans="2:12" ht="16.5" customHeight="1" thickBot="1" x14ac:dyDescent="0.3">
      <c r="F129" s="698"/>
      <c r="G129" s="698"/>
      <c r="H129" s="698"/>
      <c r="I129" s="698"/>
      <c r="K129" s="616"/>
      <c r="L129" s="616"/>
    </row>
    <row r="130" spans="2:12" ht="16.5" customHeight="1" x14ac:dyDescent="0.25">
      <c r="F130" s="690" t="str">
        <f>'Competition Menu'!C17</f>
        <v>Team 7</v>
      </c>
      <c r="G130" s="691"/>
      <c r="H130" s="691"/>
      <c r="I130" s="692"/>
      <c r="K130" s="639"/>
      <c r="L130" s="639"/>
    </row>
    <row r="131" spans="2:12" ht="16.5" customHeight="1" thickBot="1" x14ac:dyDescent="0.3">
      <c r="F131" s="693"/>
      <c r="G131" s="694"/>
      <c r="H131" s="694"/>
      <c r="I131" s="695"/>
    </row>
    <row r="132" spans="2:12" ht="11.25" customHeight="1" thickBot="1" x14ac:dyDescent="0.3"/>
    <row r="133" spans="2:12" ht="36" customHeight="1" thickBot="1" x14ac:dyDescent="0.3">
      <c r="B133" s="576" t="s">
        <v>6184</v>
      </c>
      <c r="C133" s="586" t="s">
        <v>6191</v>
      </c>
      <c r="D133" s="315" t="s">
        <v>6181</v>
      </c>
      <c r="E133" s="315" t="s">
        <v>6182</v>
      </c>
      <c r="F133" s="315" t="s">
        <v>6183</v>
      </c>
      <c r="G133" s="315" t="s">
        <v>56</v>
      </c>
      <c r="H133" s="315" t="s">
        <v>57</v>
      </c>
      <c r="I133" s="315" t="s">
        <v>58</v>
      </c>
      <c r="J133" s="315" t="s">
        <v>59</v>
      </c>
      <c r="K133" s="315" t="s">
        <v>60</v>
      </c>
      <c r="L133" s="315" t="s">
        <v>61</v>
      </c>
    </row>
    <row r="134" spans="2:12" ht="31.5" customHeight="1" x14ac:dyDescent="0.25">
      <c r="B134" s="577">
        <v>1</v>
      </c>
      <c r="C134" s="575"/>
      <c r="D134" s="575"/>
      <c r="E134" s="575"/>
      <c r="F134" s="575"/>
      <c r="G134" s="575"/>
      <c r="H134" s="575"/>
      <c r="I134" s="575"/>
      <c r="J134" s="575"/>
      <c r="K134" s="575"/>
      <c r="L134" s="575"/>
    </row>
    <row r="135" spans="2:12" ht="31.5" customHeight="1" x14ac:dyDescent="0.25">
      <c r="B135" s="578">
        <v>2</v>
      </c>
      <c r="C135" s="573"/>
      <c r="D135" s="573"/>
      <c r="E135" s="573"/>
      <c r="F135" s="573"/>
      <c r="G135" s="573"/>
      <c r="H135" s="573"/>
      <c r="I135" s="573"/>
      <c r="J135" s="573"/>
      <c r="K135" s="573"/>
      <c r="L135" s="573"/>
    </row>
    <row r="136" spans="2:12" ht="31.5" customHeight="1" x14ac:dyDescent="0.25">
      <c r="B136" s="578">
        <v>3</v>
      </c>
      <c r="C136" s="573"/>
      <c r="D136" s="573"/>
      <c r="E136" s="573"/>
      <c r="F136" s="573"/>
      <c r="G136" s="573"/>
      <c r="H136" s="573"/>
      <c r="I136" s="573"/>
      <c r="J136" s="573"/>
      <c r="K136" s="573"/>
      <c r="L136" s="573"/>
    </row>
    <row r="137" spans="2:12" ht="31.5" customHeight="1" x14ac:dyDescent="0.25">
      <c r="B137" s="578">
        <v>4</v>
      </c>
      <c r="C137" s="573"/>
      <c r="D137" s="573"/>
      <c r="E137" s="573"/>
      <c r="F137" s="573"/>
      <c r="G137" s="573"/>
      <c r="H137" s="573"/>
      <c r="I137" s="573"/>
      <c r="J137" s="573"/>
      <c r="K137" s="573"/>
      <c r="L137" s="573"/>
    </row>
    <row r="138" spans="2:12" ht="31.5" customHeight="1" x14ac:dyDescent="0.25">
      <c r="B138" s="578">
        <v>5</v>
      </c>
      <c r="C138" s="573"/>
      <c r="D138" s="573"/>
      <c r="E138" s="573"/>
      <c r="F138" s="573"/>
      <c r="G138" s="573"/>
      <c r="H138" s="573"/>
      <c r="I138" s="573"/>
      <c r="J138" s="573"/>
      <c r="K138" s="573"/>
      <c r="L138" s="573"/>
    </row>
    <row r="139" spans="2:12" ht="31.5" customHeight="1" x14ac:dyDescent="0.25">
      <c r="B139" s="578">
        <v>6</v>
      </c>
      <c r="C139" s="573"/>
      <c r="D139" s="573"/>
      <c r="E139" s="573"/>
      <c r="F139" s="573"/>
      <c r="G139" s="573"/>
      <c r="H139" s="573"/>
      <c r="I139" s="573"/>
      <c r="J139" s="573"/>
      <c r="K139" s="573"/>
      <c r="L139" s="573"/>
    </row>
    <row r="140" spans="2:12" ht="31.5" customHeight="1" x14ac:dyDescent="0.25">
      <c r="B140" s="578">
        <v>7</v>
      </c>
      <c r="C140" s="573"/>
      <c r="D140" s="573"/>
      <c r="E140" s="573"/>
      <c r="F140" s="573"/>
      <c r="G140" s="573"/>
      <c r="H140" s="573"/>
      <c r="I140" s="573"/>
      <c r="J140" s="573"/>
      <c r="K140" s="573"/>
      <c r="L140" s="573"/>
    </row>
    <row r="141" spans="2:12" ht="31.5" customHeight="1" x14ac:dyDescent="0.25">
      <c r="B141" s="578">
        <v>8</v>
      </c>
      <c r="C141" s="573"/>
      <c r="D141" s="573"/>
      <c r="E141" s="573"/>
      <c r="F141" s="573"/>
      <c r="G141" s="573"/>
      <c r="H141" s="573"/>
      <c r="I141" s="573"/>
      <c r="J141" s="573"/>
      <c r="K141" s="573"/>
      <c r="L141" s="573"/>
    </row>
    <row r="142" spans="2:12" ht="31.5" customHeight="1" x14ac:dyDescent="0.25">
      <c r="B142" s="578">
        <v>9</v>
      </c>
      <c r="C142" s="573"/>
      <c r="D142" s="573"/>
      <c r="E142" s="573"/>
      <c r="F142" s="573"/>
      <c r="G142" s="573"/>
      <c r="H142" s="573"/>
      <c r="I142" s="573"/>
      <c r="J142" s="573"/>
      <c r="K142" s="573"/>
      <c r="L142" s="573"/>
    </row>
    <row r="143" spans="2:12" ht="31.5" customHeight="1" x14ac:dyDescent="0.25">
      <c r="B143" s="578">
        <v>10</v>
      </c>
      <c r="C143" s="573"/>
      <c r="D143" s="573"/>
      <c r="E143" s="573"/>
      <c r="F143" s="573"/>
      <c r="G143" s="573"/>
      <c r="H143" s="573"/>
      <c r="I143" s="573"/>
      <c r="J143" s="573"/>
      <c r="K143" s="573"/>
      <c r="L143" s="573"/>
    </row>
    <row r="144" spans="2:12" ht="31.5" customHeight="1" x14ac:dyDescent="0.25">
      <c r="B144" s="578">
        <v>11</v>
      </c>
      <c r="C144" s="573"/>
      <c r="D144" s="573"/>
      <c r="E144" s="573"/>
      <c r="F144" s="573"/>
      <c r="G144" s="573"/>
      <c r="H144" s="573"/>
      <c r="I144" s="573"/>
      <c r="J144" s="573"/>
      <c r="K144" s="573"/>
      <c r="L144" s="573"/>
    </row>
    <row r="145" spans="2:12" ht="31.5" customHeight="1" thickBot="1" x14ac:dyDescent="0.3">
      <c r="B145" s="579">
        <v>12</v>
      </c>
      <c r="C145" s="574"/>
      <c r="D145" s="574"/>
      <c r="E145" s="574"/>
      <c r="F145" s="574"/>
      <c r="G145" s="574"/>
      <c r="H145" s="574"/>
      <c r="I145" s="574"/>
      <c r="J145" s="574"/>
      <c r="K145" s="574"/>
      <c r="L145" s="574"/>
    </row>
    <row r="146" spans="2:12" ht="6" customHeight="1" x14ac:dyDescent="0.25"/>
    <row r="147" spans="2:12" ht="24" customHeight="1" x14ac:dyDescent="0.25">
      <c r="B147" s="700" t="s">
        <v>6190</v>
      </c>
      <c r="C147" s="700"/>
      <c r="D147" s="700"/>
      <c r="E147" s="700"/>
      <c r="F147" s="700"/>
      <c r="G147" s="700"/>
      <c r="H147" s="700"/>
      <c r="I147" s="700"/>
      <c r="J147" s="700"/>
      <c r="K147" s="700"/>
      <c r="L147" s="700"/>
    </row>
    <row r="148" spans="2:12" ht="24" customHeight="1" x14ac:dyDescent="0.25">
      <c r="B148" s="700"/>
      <c r="C148" s="700"/>
      <c r="D148" s="700"/>
      <c r="E148" s="700"/>
      <c r="F148" s="700"/>
      <c r="G148" s="700"/>
      <c r="H148" s="700"/>
      <c r="I148" s="700"/>
      <c r="J148" s="700"/>
      <c r="K148" s="700"/>
      <c r="L148" s="700"/>
    </row>
    <row r="149" spans="2:12" ht="16.5" customHeight="1" x14ac:dyDescent="0.25">
      <c r="F149" s="696" t="s">
        <v>6185</v>
      </c>
      <c r="G149" s="697"/>
      <c r="H149" s="697"/>
      <c r="I149" s="697"/>
      <c r="K149" s="699" t="s">
        <v>6180</v>
      </c>
      <c r="L149" s="616"/>
    </row>
    <row r="150" spans="2:12" ht="16.5" customHeight="1" thickBot="1" x14ac:dyDescent="0.3">
      <c r="F150" s="698"/>
      <c r="G150" s="698"/>
      <c r="H150" s="698"/>
      <c r="I150" s="698"/>
      <c r="K150" s="616"/>
      <c r="L150" s="616"/>
    </row>
    <row r="151" spans="2:12" ht="16.5" customHeight="1" x14ac:dyDescent="0.25">
      <c r="F151" s="690" t="str">
        <f>'Competition Menu'!C18</f>
        <v>Team 8</v>
      </c>
      <c r="G151" s="691"/>
      <c r="H151" s="691"/>
      <c r="I151" s="692"/>
      <c r="K151" s="639"/>
      <c r="L151" s="639"/>
    </row>
    <row r="152" spans="2:12" ht="16.5" customHeight="1" thickBot="1" x14ac:dyDescent="0.3">
      <c r="F152" s="693"/>
      <c r="G152" s="694"/>
      <c r="H152" s="694"/>
      <c r="I152" s="695"/>
    </row>
    <row r="153" spans="2:12" ht="11.25" customHeight="1" thickBot="1" x14ac:dyDescent="0.3"/>
    <row r="154" spans="2:12" ht="36" customHeight="1" thickBot="1" x14ac:dyDescent="0.3">
      <c r="B154" s="576" t="s">
        <v>6184</v>
      </c>
      <c r="C154" s="586" t="s">
        <v>6191</v>
      </c>
      <c r="D154" s="315" t="s">
        <v>6181</v>
      </c>
      <c r="E154" s="315" t="s">
        <v>6182</v>
      </c>
      <c r="F154" s="315" t="s">
        <v>6183</v>
      </c>
      <c r="G154" s="315" t="s">
        <v>56</v>
      </c>
      <c r="H154" s="315" t="s">
        <v>57</v>
      </c>
      <c r="I154" s="315" t="s">
        <v>58</v>
      </c>
      <c r="J154" s="315" t="s">
        <v>59</v>
      </c>
      <c r="K154" s="315" t="s">
        <v>60</v>
      </c>
      <c r="L154" s="315" t="s">
        <v>61</v>
      </c>
    </row>
    <row r="155" spans="2:12" ht="31.5" customHeight="1" x14ac:dyDescent="0.25">
      <c r="B155" s="577">
        <v>1</v>
      </c>
      <c r="C155" s="575"/>
      <c r="D155" s="575"/>
      <c r="E155" s="575"/>
      <c r="F155" s="575"/>
      <c r="G155" s="575"/>
      <c r="H155" s="575"/>
      <c r="I155" s="575"/>
      <c r="J155" s="575"/>
      <c r="K155" s="575"/>
      <c r="L155" s="575"/>
    </row>
    <row r="156" spans="2:12" ht="31.5" customHeight="1" x14ac:dyDescent="0.25">
      <c r="B156" s="578">
        <v>2</v>
      </c>
      <c r="C156" s="573"/>
      <c r="D156" s="573"/>
      <c r="E156" s="573"/>
      <c r="F156" s="573"/>
      <c r="G156" s="573"/>
      <c r="H156" s="573"/>
      <c r="I156" s="573"/>
      <c r="J156" s="573"/>
      <c r="K156" s="573"/>
      <c r="L156" s="573"/>
    </row>
    <row r="157" spans="2:12" ht="31.5" customHeight="1" x14ac:dyDescent="0.25">
      <c r="B157" s="578">
        <v>3</v>
      </c>
      <c r="C157" s="573"/>
      <c r="D157" s="573"/>
      <c r="E157" s="573"/>
      <c r="F157" s="573"/>
      <c r="G157" s="573"/>
      <c r="H157" s="573"/>
      <c r="I157" s="573"/>
      <c r="J157" s="573"/>
      <c r="K157" s="573"/>
      <c r="L157" s="573"/>
    </row>
    <row r="158" spans="2:12" ht="31.5" customHeight="1" x14ac:dyDescent="0.25">
      <c r="B158" s="578">
        <v>4</v>
      </c>
      <c r="C158" s="573"/>
      <c r="D158" s="573"/>
      <c r="E158" s="573"/>
      <c r="F158" s="573"/>
      <c r="G158" s="573"/>
      <c r="H158" s="573"/>
      <c r="I158" s="573"/>
      <c r="J158" s="573"/>
      <c r="K158" s="573"/>
      <c r="L158" s="573"/>
    </row>
    <row r="159" spans="2:12" ht="31.5" customHeight="1" x14ac:dyDescent="0.25">
      <c r="B159" s="578">
        <v>5</v>
      </c>
      <c r="C159" s="573"/>
      <c r="D159" s="573"/>
      <c r="E159" s="573"/>
      <c r="F159" s="573"/>
      <c r="G159" s="573"/>
      <c r="H159" s="573"/>
      <c r="I159" s="573"/>
      <c r="J159" s="573"/>
      <c r="K159" s="573"/>
      <c r="L159" s="573"/>
    </row>
    <row r="160" spans="2:12" ht="31.5" customHeight="1" x14ac:dyDescent="0.25">
      <c r="B160" s="578">
        <v>6</v>
      </c>
      <c r="C160" s="573"/>
      <c r="D160" s="573"/>
      <c r="E160" s="573"/>
      <c r="F160" s="573"/>
      <c r="G160" s="573"/>
      <c r="H160" s="573"/>
      <c r="I160" s="573"/>
      <c r="J160" s="573"/>
      <c r="K160" s="573"/>
      <c r="L160" s="573"/>
    </row>
    <row r="161" spans="2:12" ht="31.5" customHeight="1" x14ac:dyDescent="0.25">
      <c r="B161" s="578">
        <v>7</v>
      </c>
      <c r="C161" s="573"/>
      <c r="D161" s="573"/>
      <c r="E161" s="573"/>
      <c r="F161" s="573"/>
      <c r="G161" s="573"/>
      <c r="H161" s="573"/>
      <c r="I161" s="573"/>
      <c r="J161" s="573"/>
      <c r="K161" s="573"/>
      <c r="L161" s="573"/>
    </row>
    <row r="162" spans="2:12" ht="31.5" customHeight="1" x14ac:dyDescent="0.25">
      <c r="B162" s="578">
        <v>8</v>
      </c>
      <c r="C162" s="573"/>
      <c r="D162" s="573"/>
      <c r="E162" s="573"/>
      <c r="F162" s="573"/>
      <c r="G162" s="573"/>
      <c r="H162" s="573"/>
      <c r="I162" s="573"/>
      <c r="J162" s="573"/>
      <c r="K162" s="573"/>
      <c r="L162" s="573"/>
    </row>
    <row r="163" spans="2:12" ht="31.5" customHeight="1" x14ac:dyDescent="0.25">
      <c r="B163" s="578">
        <v>9</v>
      </c>
      <c r="C163" s="573"/>
      <c r="D163" s="573"/>
      <c r="E163" s="573"/>
      <c r="F163" s="573"/>
      <c r="G163" s="573"/>
      <c r="H163" s="573"/>
      <c r="I163" s="573"/>
      <c r="J163" s="573"/>
      <c r="K163" s="573"/>
      <c r="L163" s="573"/>
    </row>
    <row r="164" spans="2:12" ht="31.5" customHeight="1" x14ac:dyDescent="0.25">
      <c r="B164" s="578">
        <v>10</v>
      </c>
      <c r="C164" s="573"/>
      <c r="D164" s="573"/>
      <c r="E164" s="573"/>
      <c r="F164" s="573"/>
      <c r="G164" s="573"/>
      <c r="H164" s="573"/>
      <c r="I164" s="573"/>
      <c r="J164" s="573"/>
      <c r="K164" s="573"/>
      <c r="L164" s="573"/>
    </row>
    <row r="165" spans="2:12" ht="31.5" customHeight="1" x14ac:dyDescent="0.25">
      <c r="B165" s="578">
        <v>11</v>
      </c>
      <c r="C165" s="573"/>
      <c r="D165" s="573"/>
      <c r="E165" s="573"/>
      <c r="F165" s="573"/>
      <c r="G165" s="573"/>
      <c r="H165" s="573"/>
      <c r="I165" s="573"/>
      <c r="J165" s="573"/>
      <c r="K165" s="573"/>
      <c r="L165" s="573"/>
    </row>
    <row r="166" spans="2:12" ht="31.5" customHeight="1" thickBot="1" x14ac:dyDescent="0.3">
      <c r="B166" s="579">
        <v>12</v>
      </c>
      <c r="C166" s="574"/>
      <c r="D166" s="574"/>
      <c r="E166" s="574"/>
      <c r="F166" s="574"/>
      <c r="G166" s="574"/>
      <c r="H166" s="574"/>
      <c r="I166" s="574"/>
      <c r="J166" s="574"/>
      <c r="K166" s="574"/>
      <c r="L166" s="574"/>
    </row>
    <row r="167" spans="2:12" ht="6" customHeight="1" x14ac:dyDescent="0.25"/>
    <row r="168" spans="2:12" ht="24" customHeight="1" x14ac:dyDescent="0.25">
      <c r="B168" s="700" t="s">
        <v>6190</v>
      </c>
      <c r="C168" s="700"/>
      <c r="D168" s="700"/>
      <c r="E168" s="700"/>
      <c r="F168" s="700"/>
      <c r="G168" s="700"/>
      <c r="H168" s="700"/>
      <c r="I168" s="700"/>
      <c r="J168" s="700"/>
      <c r="K168" s="700"/>
      <c r="L168" s="700"/>
    </row>
    <row r="169" spans="2:12" ht="24" customHeight="1" x14ac:dyDescent="0.25">
      <c r="B169" s="700"/>
      <c r="C169" s="700"/>
      <c r="D169" s="700"/>
      <c r="E169" s="700"/>
      <c r="F169" s="700"/>
      <c r="G169" s="700"/>
      <c r="H169" s="700"/>
      <c r="I169" s="700"/>
      <c r="J169" s="700"/>
      <c r="K169" s="700"/>
      <c r="L169" s="700"/>
    </row>
    <row r="170" spans="2:12" ht="16.5" customHeight="1" x14ac:dyDescent="0.25">
      <c r="F170" s="696" t="s">
        <v>6185</v>
      </c>
      <c r="G170" s="697"/>
      <c r="H170" s="697"/>
      <c r="I170" s="697"/>
      <c r="K170" s="699" t="s">
        <v>6180</v>
      </c>
      <c r="L170" s="616"/>
    </row>
    <row r="171" spans="2:12" ht="16.5" customHeight="1" thickBot="1" x14ac:dyDescent="0.3">
      <c r="F171" s="698"/>
      <c r="G171" s="698"/>
      <c r="H171" s="698"/>
      <c r="I171" s="698"/>
      <c r="K171" s="616"/>
      <c r="L171" s="616"/>
    </row>
    <row r="172" spans="2:12" ht="16.5" customHeight="1" x14ac:dyDescent="0.25">
      <c r="F172" s="690" t="str">
        <f>'Competition Menu'!C19</f>
        <v>Team 9</v>
      </c>
      <c r="G172" s="691"/>
      <c r="H172" s="691"/>
      <c r="I172" s="692"/>
      <c r="K172" s="639"/>
      <c r="L172" s="639"/>
    </row>
    <row r="173" spans="2:12" ht="16.5" customHeight="1" thickBot="1" x14ac:dyDescent="0.3">
      <c r="F173" s="693"/>
      <c r="G173" s="694"/>
      <c r="H173" s="694"/>
      <c r="I173" s="695"/>
    </row>
    <row r="174" spans="2:12" ht="11.25" customHeight="1" thickBot="1" x14ac:dyDescent="0.3"/>
    <row r="175" spans="2:12" ht="36" customHeight="1" thickBot="1" x14ac:dyDescent="0.3">
      <c r="B175" s="576" t="s">
        <v>6184</v>
      </c>
      <c r="C175" s="586" t="s">
        <v>6191</v>
      </c>
      <c r="D175" s="315" t="s">
        <v>6181</v>
      </c>
      <c r="E175" s="315" t="s">
        <v>6182</v>
      </c>
      <c r="F175" s="315" t="s">
        <v>6183</v>
      </c>
      <c r="G175" s="315" t="s">
        <v>56</v>
      </c>
      <c r="H175" s="315" t="s">
        <v>57</v>
      </c>
      <c r="I175" s="315" t="s">
        <v>58</v>
      </c>
      <c r="J175" s="315" t="s">
        <v>59</v>
      </c>
      <c r="K175" s="315" t="s">
        <v>60</v>
      </c>
      <c r="L175" s="315" t="s">
        <v>61</v>
      </c>
    </row>
    <row r="176" spans="2:12" ht="31.5" customHeight="1" x14ac:dyDescent="0.25">
      <c r="B176" s="577">
        <v>1</v>
      </c>
      <c r="C176" s="575"/>
      <c r="D176" s="575"/>
      <c r="E176" s="575"/>
      <c r="F176" s="575"/>
      <c r="G176" s="575"/>
      <c r="H176" s="575"/>
      <c r="I176" s="575"/>
      <c r="J176" s="575"/>
      <c r="K176" s="575"/>
      <c r="L176" s="575"/>
    </row>
    <row r="177" spans="2:12" ht="31.5" customHeight="1" x14ac:dyDescent="0.25">
      <c r="B177" s="578">
        <v>2</v>
      </c>
      <c r="C177" s="573"/>
      <c r="D177" s="573"/>
      <c r="E177" s="573"/>
      <c r="F177" s="573"/>
      <c r="G177" s="573"/>
      <c r="H177" s="573"/>
      <c r="I177" s="573"/>
      <c r="J177" s="573"/>
      <c r="K177" s="573"/>
      <c r="L177" s="573"/>
    </row>
    <row r="178" spans="2:12" ht="31.5" customHeight="1" x14ac:dyDescent="0.25">
      <c r="B178" s="578">
        <v>3</v>
      </c>
      <c r="C178" s="573"/>
      <c r="D178" s="573"/>
      <c r="E178" s="573"/>
      <c r="F178" s="573"/>
      <c r="G178" s="573"/>
      <c r="H178" s="573"/>
      <c r="I178" s="573"/>
      <c r="J178" s="573"/>
      <c r="K178" s="573"/>
      <c r="L178" s="573"/>
    </row>
    <row r="179" spans="2:12" ht="31.5" customHeight="1" x14ac:dyDescent="0.25">
      <c r="B179" s="578">
        <v>4</v>
      </c>
      <c r="C179" s="573"/>
      <c r="D179" s="573"/>
      <c r="E179" s="573"/>
      <c r="F179" s="573"/>
      <c r="G179" s="573"/>
      <c r="H179" s="573"/>
      <c r="I179" s="573"/>
      <c r="J179" s="573"/>
      <c r="K179" s="573"/>
      <c r="L179" s="573"/>
    </row>
    <row r="180" spans="2:12" ht="31.5" customHeight="1" x14ac:dyDescent="0.25">
      <c r="B180" s="578">
        <v>5</v>
      </c>
      <c r="C180" s="573"/>
      <c r="D180" s="573"/>
      <c r="E180" s="573"/>
      <c r="F180" s="573"/>
      <c r="G180" s="573"/>
      <c r="H180" s="573"/>
      <c r="I180" s="573"/>
      <c r="J180" s="573"/>
      <c r="K180" s="573"/>
      <c r="L180" s="573"/>
    </row>
    <row r="181" spans="2:12" ht="31.5" customHeight="1" x14ac:dyDescent="0.25">
      <c r="B181" s="578">
        <v>6</v>
      </c>
      <c r="C181" s="573"/>
      <c r="D181" s="573"/>
      <c r="E181" s="573"/>
      <c r="F181" s="573"/>
      <c r="G181" s="573"/>
      <c r="H181" s="573"/>
      <c r="I181" s="573"/>
      <c r="J181" s="573"/>
      <c r="K181" s="573"/>
      <c r="L181" s="573"/>
    </row>
    <row r="182" spans="2:12" ht="31.5" customHeight="1" x14ac:dyDescent="0.25">
      <c r="B182" s="578">
        <v>7</v>
      </c>
      <c r="C182" s="573"/>
      <c r="D182" s="573"/>
      <c r="E182" s="573"/>
      <c r="F182" s="573"/>
      <c r="G182" s="573"/>
      <c r="H182" s="573"/>
      <c r="I182" s="573"/>
      <c r="J182" s="573"/>
      <c r="K182" s="573"/>
      <c r="L182" s="573"/>
    </row>
    <row r="183" spans="2:12" ht="31.5" customHeight="1" x14ac:dyDescent="0.25">
      <c r="B183" s="578">
        <v>8</v>
      </c>
      <c r="C183" s="573"/>
      <c r="D183" s="573"/>
      <c r="E183" s="573"/>
      <c r="F183" s="573"/>
      <c r="G183" s="573"/>
      <c r="H183" s="573"/>
      <c r="I183" s="573"/>
      <c r="J183" s="573"/>
      <c r="K183" s="573"/>
      <c r="L183" s="573"/>
    </row>
    <row r="184" spans="2:12" ht="31.5" customHeight="1" x14ac:dyDescent="0.25">
      <c r="B184" s="578">
        <v>9</v>
      </c>
      <c r="C184" s="573"/>
      <c r="D184" s="573"/>
      <c r="E184" s="573"/>
      <c r="F184" s="573"/>
      <c r="G184" s="573"/>
      <c r="H184" s="573"/>
      <c r="I184" s="573"/>
      <c r="J184" s="573"/>
      <c r="K184" s="573"/>
      <c r="L184" s="573"/>
    </row>
    <row r="185" spans="2:12" ht="31.5" customHeight="1" x14ac:dyDescent="0.25">
      <c r="B185" s="578">
        <v>10</v>
      </c>
      <c r="C185" s="573"/>
      <c r="D185" s="573"/>
      <c r="E185" s="573"/>
      <c r="F185" s="573"/>
      <c r="G185" s="573"/>
      <c r="H185" s="573"/>
      <c r="I185" s="573"/>
      <c r="J185" s="573"/>
      <c r="K185" s="573"/>
      <c r="L185" s="573"/>
    </row>
    <row r="186" spans="2:12" ht="31.5" customHeight="1" x14ac:dyDescent="0.25">
      <c r="B186" s="578">
        <v>11</v>
      </c>
      <c r="C186" s="573"/>
      <c r="D186" s="573"/>
      <c r="E186" s="573"/>
      <c r="F186" s="573"/>
      <c r="G186" s="573"/>
      <c r="H186" s="573"/>
      <c r="I186" s="573"/>
      <c r="J186" s="573"/>
      <c r="K186" s="573"/>
      <c r="L186" s="573"/>
    </row>
    <row r="187" spans="2:12" ht="31.5" customHeight="1" thickBot="1" x14ac:dyDescent="0.3">
      <c r="B187" s="579">
        <v>12</v>
      </c>
      <c r="C187" s="574"/>
      <c r="D187" s="574"/>
      <c r="E187" s="574"/>
      <c r="F187" s="574"/>
      <c r="G187" s="574"/>
      <c r="H187" s="574"/>
      <c r="I187" s="574"/>
      <c r="J187" s="574"/>
      <c r="K187" s="574"/>
      <c r="L187" s="574"/>
    </row>
    <row r="188" spans="2:12" ht="6" customHeight="1" x14ac:dyDescent="0.25"/>
    <row r="189" spans="2:12" ht="24" customHeight="1" x14ac:dyDescent="0.25">
      <c r="B189" s="700" t="s">
        <v>6190</v>
      </c>
      <c r="C189" s="700"/>
      <c r="D189" s="700"/>
      <c r="E189" s="700"/>
      <c r="F189" s="700"/>
      <c r="G189" s="700"/>
      <c r="H189" s="700"/>
      <c r="I189" s="700"/>
      <c r="J189" s="700"/>
      <c r="K189" s="700"/>
      <c r="L189" s="700"/>
    </row>
    <row r="190" spans="2:12" ht="24" customHeight="1" x14ac:dyDescent="0.25">
      <c r="B190" s="700"/>
      <c r="C190" s="700"/>
      <c r="D190" s="700"/>
      <c r="E190" s="700"/>
      <c r="F190" s="700"/>
      <c r="G190" s="700"/>
      <c r="H190" s="700"/>
      <c r="I190" s="700"/>
      <c r="J190" s="700"/>
      <c r="K190" s="700"/>
      <c r="L190" s="700"/>
    </row>
    <row r="191" spans="2:12" ht="16.5" customHeight="1" x14ac:dyDescent="0.25">
      <c r="F191" s="696" t="s">
        <v>6185</v>
      </c>
      <c r="G191" s="697"/>
      <c r="H191" s="697"/>
      <c r="I191" s="697"/>
      <c r="K191" s="699" t="s">
        <v>6180</v>
      </c>
      <c r="L191" s="616"/>
    </row>
    <row r="192" spans="2:12" ht="16.5" customHeight="1" thickBot="1" x14ac:dyDescent="0.3">
      <c r="F192" s="698"/>
      <c r="G192" s="698"/>
      <c r="H192" s="698"/>
      <c r="I192" s="698"/>
      <c r="K192" s="616"/>
      <c r="L192" s="616"/>
    </row>
    <row r="193" spans="2:12" ht="16.5" customHeight="1" x14ac:dyDescent="0.25">
      <c r="F193" s="690" t="str">
        <f>'Competition Menu'!C20</f>
        <v>Team 10</v>
      </c>
      <c r="G193" s="691"/>
      <c r="H193" s="691"/>
      <c r="I193" s="692"/>
      <c r="K193" s="639"/>
      <c r="L193" s="639"/>
    </row>
    <row r="194" spans="2:12" ht="16.5" customHeight="1" thickBot="1" x14ac:dyDescent="0.3">
      <c r="F194" s="693"/>
      <c r="G194" s="694"/>
      <c r="H194" s="694"/>
      <c r="I194" s="695"/>
    </row>
    <row r="195" spans="2:12" ht="11.25" customHeight="1" thickBot="1" x14ac:dyDescent="0.3"/>
    <row r="196" spans="2:12" ht="36" customHeight="1" thickBot="1" x14ac:dyDescent="0.3">
      <c r="B196" s="576" t="s">
        <v>6184</v>
      </c>
      <c r="C196" s="586" t="s">
        <v>6191</v>
      </c>
      <c r="D196" s="315" t="s">
        <v>6181</v>
      </c>
      <c r="E196" s="315" t="s">
        <v>6182</v>
      </c>
      <c r="F196" s="315" t="s">
        <v>6183</v>
      </c>
      <c r="G196" s="315" t="s">
        <v>56</v>
      </c>
      <c r="H196" s="315" t="s">
        <v>57</v>
      </c>
      <c r="I196" s="315" t="s">
        <v>58</v>
      </c>
      <c r="J196" s="315" t="s">
        <v>59</v>
      </c>
      <c r="K196" s="315" t="s">
        <v>60</v>
      </c>
      <c r="L196" s="315" t="s">
        <v>61</v>
      </c>
    </row>
    <row r="197" spans="2:12" ht="31.5" customHeight="1" x14ac:dyDescent="0.25">
      <c r="B197" s="577">
        <v>1</v>
      </c>
      <c r="C197" s="575"/>
      <c r="D197" s="575"/>
      <c r="E197" s="575"/>
      <c r="F197" s="575"/>
      <c r="G197" s="575"/>
      <c r="H197" s="575"/>
      <c r="I197" s="575"/>
      <c r="J197" s="575"/>
      <c r="K197" s="575"/>
      <c r="L197" s="575"/>
    </row>
    <row r="198" spans="2:12" ht="31.5" customHeight="1" x14ac:dyDescent="0.25">
      <c r="B198" s="578">
        <v>2</v>
      </c>
      <c r="C198" s="573"/>
      <c r="D198" s="573"/>
      <c r="E198" s="573"/>
      <c r="F198" s="573"/>
      <c r="G198" s="573"/>
      <c r="H198" s="573"/>
      <c r="I198" s="573"/>
      <c r="J198" s="573"/>
      <c r="K198" s="573"/>
      <c r="L198" s="573"/>
    </row>
    <row r="199" spans="2:12" ht="31.5" customHeight="1" x14ac:dyDescent="0.25">
      <c r="B199" s="578">
        <v>3</v>
      </c>
      <c r="C199" s="573"/>
      <c r="D199" s="573"/>
      <c r="E199" s="573"/>
      <c r="F199" s="573"/>
      <c r="G199" s="573"/>
      <c r="H199" s="573"/>
      <c r="I199" s="573"/>
      <c r="J199" s="573"/>
      <c r="K199" s="573"/>
      <c r="L199" s="573"/>
    </row>
    <row r="200" spans="2:12" ht="31.5" customHeight="1" x14ac:dyDescent="0.25">
      <c r="B200" s="578">
        <v>4</v>
      </c>
      <c r="C200" s="573"/>
      <c r="D200" s="573"/>
      <c r="E200" s="573"/>
      <c r="F200" s="573"/>
      <c r="G200" s="573"/>
      <c r="H200" s="573"/>
      <c r="I200" s="573"/>
      <c r="J200" s="573"/>
      <c r="K200" s="573"/>
      <c r="L200" s="573"/>
    </row>
    <row r="201" spans="2:12" ht="31.5" customHeight="1" x14ac:dyDescent="0.25">
      <c r="B201" s="578">
        <v>5</v>
      </c>
      <c r="C201" s="573"/>
      <c r="D201" s="573"/>
      <c r="E201" s="573"/>
      <c r="F201" s="573"/>
      <c r="G201" s="573"/>
      <c r="H201" s="573"/>
      <c r="I201" s="573"/>
      <c r="J201" s="573"/>
      <c r="K201" s="573"/>
      <c r="L201" s="573"/>
    </row>
    <row r="202" spans="2:12" ht="31.5" customHeight="1" x14ac:dyDescent="0.25">
      <c r="B202" s="578">
        <v>6</v>
      </c>
      <c r="C202" s="573"/>
      <c r="D202" s="573"/>
      <c r="E202" s="573"/>
      <c r="F202" s="573"/>
      <c r="G202" s="573"/>
      <c r="H202" s="573"/>
      <c r="I202" s="573"/>
      <c r="J202" s="573"/>
      <c r="K202" s="573"/>
      <c r="L202" s="573"/>
    </row>
    <row r="203" spans="2:12" ht="31.5" customHeight="1" x14ac:dyDescent="0.25">
      <c r="B203" s="578">
        <v>7</v>
      </c>
      <c r="C203" s="573"/>
      <c r="D203" s="573"/>
      <c r="E203" s="573"/>
      <c r="F203" s="573"/>
      <c r="G203" s="573"/>
      <c r="H203" s="573"/>
      <c r="I203" s="573"/>
      <c r="J203" s="573"/>
      <c r="K203" s="573"/>
      <c r="L203" s="573"/>
    </row>
    <row r="204" spans="2:12" ht="31.5" customHeight="1" x14ac:dyDescent="0.25">
      <c r="B204" s="578">
        <v>8</v>
      </c>
      <c r="C204" s="573"/>
      <c r="D204" s="573"/>
      <c r="E204" s="573"/>
      <c r="F204" s="573"/>
      <c r="G204" s="573"/>
      <c r="H204" s="573"/>
      <c r="I204" s="573"/>
      <c r="J204" s="573"/>
      <c r="K204" s="573"/>
      <c r="L204" s="573"/>
    </row>
    <row r="205" spans="2:12" ht="31.5" customHeight="1" x14ac:dyDescent="0.25">
      <c r="B205" s="578">
        <v>9</v>
      </c>
      <c r="C205" s="573"/>
      <c r="D205" s="573"/>
      <c r="E205" s="573"/>
      <c r="F205" s="573"/>
      <c r="G205" s="573"/>
      <c r="H205" s="573"/>
      <c r="I205" s="573"/>
      <c r="J205" s="573"/>
      <c r="K205" s="573"/>
      <c r="L205" s="573"/>
    </row>
    <row r="206" spans="2:12" ht="31.5" customHeight="1" x14ac:dyDescent="0.25">
      <c r="B206" s="578">
        <v>10</v>
      </c>
      <c r="C206" s="573"/>
      <c r="D206" s="573"/>
      <c r="E206" s="573"/>
      <c r="F206" s="573"/>
      <c r="G206" s="573"/>
      <c r="H206" s="573"/>
      <c r="I206" s="573"/>
      <c r="J206" s="573"/>
      <c r="K206" s="573"/>
      <c r="L206" s="573"/>
    </row>
    <row r="207" spans="2:12" ht="31.5" customHeight="1" x14ac:dyDescent="0.25">
      <c r="B207" s="578">
        <v>11</v>
      </c>
      <c r="C207" s="573"/>
      <c r="D207" s="573"/>
      <c r="E207" s="573"/>
      <c r="F207" s="573"/>
      <c r="G207" s="573"/>
      <c r="H207" s="573"/>
      <c r="I207" s="573"/>
      <c r="J207" s="573"/>
      <c r="K207" s="573"/>
      <c r="L207" s="573"/>
    </row>
    <row r="208" spans="2:12" ht="31.5" customHeight="1" thickBot="1" x14ac:dyDescent="0.3">
      <c r="B208" s="579">
        <v>12</v>
      </c>
      <c r="C208" s="574"/>
      <c r="D208" s="574"/>
      <c r="E208" s="574"/>
      <c r="F208" s="574"/>
      <c r="G208" s="574"/>
      <c r="H208" s="574"/>
      <c r="I208" s="574"/>
      <c r="J208" s="574"/>
      <c r="K208" s="574"/>
      <c r="L208" s="574"/>
    </row>
    <row r="209" spans="2:12" ht="6" customHeight="1" x14ac:dyDescent="0.25"/>
    <row r="210" spans="2:12" ht="24" customHeight="1" x14ac:dyDescent="0.25">
      <c r="B210" s="700" t="s">
        <v>6190</v>
      </c>
      <c r="C210" s="700"/>
      <c r="D210" s="700"/>
      <c r="E210" s="700"/>
      <c r="F210" s="700"/>
      <c r="G210" s="700"/>
      <c r="H210" s="700"/>
      <c r="I210" s="700"/>
      <c r="J210" s="700"/>
      <c r="K210" s="700"/>
      <c r="L210" s="700"/>
    </row>
    <row r="211" spans="2:12" ht="24" customHeight="1" x14ac:dyDescent="0.25">
      <c r="B211" s="700"/>
      <c r="C211" s="700"/>
      <c r="D211" s="700"/>
      <c r="E211" s="700"/>
      <c r="F211" s="700"/>
      <c r="G211" s="700"/>
      <c r="H211" s="700"/>
      <c r="I211" s="700"/>
      <c r="J211" s="700"/>
      <c r="K211" s="700"/>
      <c r="L211" s="700"/>
    </row>
    <row r="212" spans="2:12" ht="16.5" customHeight="1" x14ac:dyDescent="0.25">
      <c r="F212" s="696" t="s">
        <v>6185</v>
      </c>
      <c r="G212" s="697"/>
      <c r="H212" s="697"/>
      <c r="I212" s="697"/>
      <c r="K212" s="699" t="s">
        <v>6180</v>
      </c>
      <c r="L212" s="616"/>
    </row>
    <row r="213" spans="2:12" ht="16.5" customHeight="1" thickBot="1" x14ac:dyDescent="0.3">
      <c r="F213" s="698"/>
      <c r="G213" s="698"/>
      <c r="H213" s="698"/>
      <c r="I213" s="698"/>
      <c r="K213" s="616"/>
      <c r="L213" s="616"/>
    </row>
    <row r="214" spans="2:12" ht="16.5" customHeight="1" x14ac:dyDescent="0.25">
      <c r="F214" s="690" t="str">
        <f>'Competition Menu'!E11</f>
        <v>Team 11</v>
      </c>
      <c r="G214" s="691"/>
      <c r="H214" s="691"/>
      <c r="I214" s="692"/>
      <c r="K214" s="639"/>
      <c r="L214" s="639"/>
    </row>
    <row r="215" spans="2:12" ht="16.5" customHeight="1" thickBot="1" x14ac:dyDescent="0.3">
      <c r="F215" s="693"/>
      <c r="G215" s="694"/>
      <c r="H215" s="694"/>
      <c r="I215" s="695"/>
    </row>
    <row r="216" spans="2:12" ht="11.25" customHeight="1" thickBot="1" x14ac:dyDescent="0.3"/>
    <row r="217" spans="2:12" ht="36" customHeight="1" thickBot="1" x14ac:dyDescent="0.3">
      <c r="B217" s="576" t="s">
        <v>6184</v>
      </c>
      <c r="C217" s="586" t="s">
        <v>6191</v>
      </c>
      <c r="D217" s="315" t="s">
        <v>6181</v>
      </c>
      <c r="E217" s="315" t="s">
        <v>6182</v>
      </c>
      <c r="F217" s="315" t="s">
        <v>6183</v>
      </c>
      <c r="G217" s="315" t="s">
        <v>56</v>
      </c>
      <c r="H217" s="315" t="s">
        <v>57</v>
      </c>
      <c r="I217" s="315" t="s">
        <v>58</v>
      </c>
      <c r="J217" s="315" t="s">
        <v>59</v>
      </c>
      <c r="K217" s="315" t="s">
        <v>60</v>
      </c>
      <c r="L217" s="315" t="s">
        <v>61</v>
      </c>
    </row>
    <row r="218" spans="2:12" ht="31.5" customHeight="1" x14ac:dyDescent="0.25">
      <c r="B218" s="577">
        <v>1</v>
      </c>
      <c r="C218" s="575"/>
      <c r="D218" s="575"/>
      <c r="E218" s="575"/>
      <c r="F218" s="575"/>
      <c r="G218" s="575"/>
      <c r="H218" s="575"/>
      <c r="I218" s="575"/>
      <c r="J218" s="575"/>
      <c r="K218" s="575"/>
      <c r="L218" s="575"/>
    </row>
    <row r="219" spans="2:12" ht="31.5" customHeight="1" x14ac:dyDescent="0.25">
      <c r="B219" s="578">
        <v>2</v>
      </c>
      <c r="C219" s="573"/>
      <c r="D219" s="573"/>
      <c r="E219" s="573"/>
      <c r="F219" s="573"/>
      <c r="G219" s="573"/>
      <c r="H219" s="573"/>
      <c r="I219" s="573"/>
      <c r="J219" s="573"/>
      <c r="K219" s="573"/>
      <c r="L219" s="573"/>
    </row>
    <row r="220" spans="2:12" ht="31.5" customHeight="1" x14ac:dyDescent="0.25">
      <c r="B220" s="578">
        <v>3</v>
      </c>
      <c r="C220" s="573"/>
      <c r="D220" s="573"/>
      <c r="E220" s="573"/>
      <c r="F220" s="573"/>
      <c r="G220" s="573"/>
      <c r="H220" s="573"/>
      <c r="I220" s="573"/>
      <c r="J220" s="573"/>
      <c r="K220" s="573"/>
      <c r="L220" s="573"/>
    </row>
    <row r="221" spans="2:12" ht="31.5" customHeight="1" x14ac:dyDescent="0.25">
      <c r="B221" s="578">
        <v>4</v>
      </c>
      <c r="C221" s="573"/>
      <c r="D221" s="573"/>
      <c r="E221" s="573"/>
      <c r="F221" s="573"/>
      <c r="G221" s="573"/>
      <c r="H221" s="573"/>
      <c r="I221" s="573"/>
      <c r="J221" s="573"/>
      <c r="K221" s="573"/>
      <c r="L221" s="573"/>
    </row>
    <row r="222" spans="2:12" ht="31.5" customHeight="1" x14ac:dyDescent="0.25">
      <c r="B222" s="578">
        <v>5</v>
      </c>
      <c r="C222" s="573"/>
      <c r="D222" s="573"/>
      <c r="E222" s="573"/>
      <c r="F222" s="573"/>
      <c r="G222" s="573"/>
      <c r="H222" s="573"/>
      <c r="I222" s="573"/>
      <c r="J222" s="573"/>
      <c r="K222" s="573"/>
      <c r="L222" s="573"/>
    </row>
    <row r="223" spans="2:12" ht="31.5" customHeight="1" x14ac:dyDescent="0.25">
      <c r="B223" s="578">
        <v>6</v>
      </c>
      <c r="C223" s="573"/>
      <c r="D223" s="573"/>
      <c r="E223" s="573"/>
      <c r="F223" s="573"/>
      <c r="G223" s="573"/>
      <c r="H223" s="573"/>
      <c r="I223" s="573"/>
      <c r="J223" s="573"/>
      <c r="K223" s="573"/>
      <c r="L223" s="573"/>
    </row>
    <row r="224" spans="2:12" ht="31.5" customHeight="1" x14ac:dyDescent="0.25">
      <c r="B224" s="578">
        <v>7</v>
      </c>
      <c r="C224" s="573"/>
      <c r="D224" s="573"/>
      <c r="E224" s="573"/>
      <c r="F224" s="573"/>
      <c r="G224" s="573"/>
      <c r="H224" s="573"/>
      <c r="I224" s="573"/>
      <c r="J224" s="573"/>
      <c r="K224" s="573"/>
      <c r="L224" s="573"/>
    </row>
    <row r="225" spans="2:12" ht="31.5" customHeight="1" x14ac:dyDescent="0.25">
      <c r="B225" s="578">
        <v>8</v>
      </c>
      <c r="C225" s="573"/>
      <c r="D225" s="573"/>
      <c r="E225" s="573"/>
      <c r="F225" s="573"/>
      <c r="G225" s="573"/>
      <c r="H225" s="573"/>
      <c r="I225" s="573"/>
      <c r="J225" s="573"/>
      <c r="K225" s="573"/>
      <c r="L225" s="573"/>
    </row>
    <row r="226" spans="2:12" ht="31.5" customHeight="1" x14ac:dyDescent="0.25">
      <c r="B226" s="578">
        <v>9</v>
      </c>
      <c r="C226" s="573"/>
      <c r="D226" s="573"/>
      <c r="E226" s="573"/>
      <c r="F226" s="573"/>
      <c r="G226" s="573"/>
      <c r="H226" s="573"/>
      <c r="I226" s="573"/>
      <c r="J226" s="573"/>
      <c r="K226" s="573"/>
      <c r="L226" s="573"/>
    </row>
    <row r="227" spans="2:12" ht="31.5" customHeight="1" x14ac:dyDescent="0.25">
      <c r="B227" s="578">
        <v>10</v>
      </c>
      <c r="C227" s="573"/>
      <c r="D227" s="573"/>
      <c r="E227" s="573"/>
      <c r="F227" s="573"/>
      <c r="G227" s="573"/>
      <c r="H227" s="573"/>
      <c r="I227" s="573"/>
      <c r="J227" s="573"/>
      <c r="K227" s="573"/>
      <c r="L227" s="573"/>
    </row>
    <row r="228" spans="2:12" ht="31.5" customHeight="1" x14ac:dyDescent="0.25">
      <c r="B228" s="578">
        <v>11</v>
      </c>
      <c r="C228" s="573"/>
      <c r="D228" s="573"/>
      <c r="E228" s="573"/>
      <c r="F228" s="573"/>
      <c r="G228" s="573"/>
      <c r="H228" s="573"/>
      <c r="I228" s="573"/>
      <c r="J228" s="573"/>
      <c r="K228" s="573"/>
      <c r="L228" s="573"/>
    </row>
    <row r="229" spans="2:12" ht="31.5" customHeight="1" thickBot="1" x14ac:dyDescent="0.3">
      <c r="B229" s="579">
        <v>12</v>
      </c>
      <c r="C229" s="574"/>
      <c r="D229" s="574"/>
      <c r="E229" s="574"/>
      <c r="F229" s="574"/>
      <c r="G229" s="574"/>
      <c r="H229" s="574"/>
      <c r="I229" s="574"/>
      <c r="J229" s="574"/>
      <c r="K229" s="574"/>
      <c r="L229" s="574"/>
    </row>
    <row r="230" spans="2:12" ht="6" customHeight="1" x14ac:dyDescent="0.25"/>
    <row r="231" spans="2:12" ht="24" customHeight="1" x14ac:dyDescent="0.25">
      <c r="B231" s="700" t="s">
        <v>6190</v>
      </c>
      <c r="C231" s="700"/>
      <c r="D231" s="700"/>
      <c r="E231" s="700"/>
      <c r="F231" s="700"/>
      <c r="G231" s="700"/>
      <c r="H231" s="700"/>
      <c r="I231" s="700"/>
      <c r="J231" s="700"/>
      <c r="K231" s="700"/>
      <c r="L231" s="700"/>
    </row>
    <row r="232" spans="2:12" ht="24" customHeight="1" x14ac:dyDescent="0.25">
      <c r="B232" s="700"/>
      <c r="C232" s="700"/>
      <c r="D232" s="700"/>
      <c r="E232" s="700"/>
      <c r="F232" s="700"/>
      <c r="G232" s="700"/>
      <c r="H232" s="700"/>
      <c r="I232" s="700"/>
      <c r="J232" s="700"/>
      <c r="K232" s="700"/>
      <c r="L232" s="700"/>
    </row>
    <row r="233" spans="2:12" ht="16.5" customHeight="1" x14ac:dyDescent="0.25">
      <c r="F233" s="696" t="s">
        <v>6185</v>
      </c>
      <c r="G233" s="697"/>
      <c r="H233" s="697"/>
      <c r="I233" s="697"/>
      <c r="K233" s="699" t="s">
        <v>6180</v>
      </c>
      <c r="L233" s="616"/>
    </row>
    <row r="234" spans="2:12" ht="16.5" customHeight="1" thickBot="1" x14ac:dyDescent="0.3">
      <c r="F234" s="698"/>
      <c r="G234" s="698"/>
      <c r="H234" s="698"/>
      <c r="I234" s="698"/>
      <c r="K234" s="616"/>
      <c r="L234" s="616"/>
    </row>
    <row r="235" spans="2:12" ht="16.5" customHeight="1" x14ac:dyDescent="0.25">
      <c r="F235" s="690" t="str">
        <f>'Competition Menu'!E12</f>
        <v>Team 12</v>
      </c>
      <c r="G235" s="691"/>
      <c r="H235" s="691"/>
      <c r="I235" s="692"/>
      <c r="K235" s="639"/>
      <c r="L235" s="639"/>
    </row>
    <row r="236" spans="2:12" ht="16.5" customHeight="1" thickBot="1" x14ac:dyDescent="0.3">
      <c r="F236" s="693"/>
      <c r="G236" s="694"/>
      <c r="H236" s="694"/>
      <c r="I236" s="695"/>
    </row>
    <row r="237" spans="2:12" ht="11.25" customHeight="1" thickBot="1" x14ac:dyDescent="0.3"/>
    <row r="238" spans="2:12" ht="36" customHeight="1" thickBot="1" x14ac:dyDescent="0.3">
      <c r="B238" s="576" t="s">
        <v>6184</v>
      </c>
      <c r="C238" s="586" t="s">
        <v>6191</v>
      </c>
      <c r="D238" s="315" t="s">
        <v>6181</v>
      </c>
      <c r="E238" s="315" t="s">
        <v>6182</v>
      </c>
      <c r="F238" s="315" t="s">
        <v>6183</v>
      </c>
      <c r="G238" s="315" t="s">
        <v>56</v>
      </c>
      <c r="H238" s="315" t="s">
        <v>57</v>
      </c>
      <c r="I238" s="315" t="s">
        <v>58</v>
      </c>
      <c r="J238" s="315" t="s">
        <v>59</v>
      </c>
      <c r="K238" s="315" t="s">
        <v>60</v>
      </c>
      <c r="L238" s="315" t="s">
        <v>61</v>
      </c>
    </row>
    <row r="239" spans="2:12" ht="31.5" customHeight="1" x14ac:dyDescent="0.25">
      <c r="B239" s="577">
        <v>1</v>
      </c>
      <c r="C239" s="575"/>
      <c r="D239" s="575"/>
      <c r="E239" s="575"/>
      <c r="F239" s="575"/>
      <c r="G239" s="575"/>
      <c r="H239" s="575"/>
      <c r="I239" s="575"/>
      <c r="J239" s="575"/>
      <c r="K239" s="575"/>
      <c r="L239" s="575"/>
    </row>
    <row r="240" spans="2:12" ht="31.5" customHeight="1" x14ac:dyDescent="0.25">
      <c r="B240" s="578">
        <v>2</v>
      </c>
      <c r="C240" s="573"/>
      <c r="D240" s="573"/>
      <c r="E240" s="573"/>
      <c r="F240" s="573"/>
      <c r="G240" s="573"/>
      <c r="H240" s="573"/>
      <c r="I240" s="573"/>
      <c r="J240" s="573"/>
      <c r="K240" s="573"/>
      <c r="L240" s="573"/>
    </row>
    <row r="241" spans="2:12" ht="31.5" customHeight="1" x14ac:dyDescent="0.25">
      <c r="B241" s="578">
        <v>3</v>
      </c>
      <c r="C241" s="573"/>
      <c r="D241" s="573"/>
      <c r="E241" s="573"/>
      <c r="F241" s="573"/>
      <c r="G241" s="573"/>
      <c r="H241" s="573"/>
      <c r="I241" s="573"/>
      <c r="J241" s="573"/>
      <c r="K241" s="573"/>
      <c r="L241" s="573"/>
    </row>
    <row r="242" spans="2:12" ht="31.5" customHeight="1" x14ac:dyDescent="0.25">
      <c r="B242" s="578">
        <v>4</v>
      </c>
      <c r="C242" s="573"/>
      <c r="D242" s="573"/>
      <c r="E242" s="573"/>
      <c r="F242" s="573"/>
      <c r="G242" s="573"/>
      <c r="H242" s="573"/>
      <c r="I242" s="573"/>
      <c r="J242" s="573"/>
      <c r="K242" s="573"/>
      <c r="L242" s="573"/>
    </row>
    <row r="243" spans="2:12" ht="31.5" customHeight="1" x14ac:dyDescent="0.25">
      <c r="B243" s="578">
        <v>5</v>
      </c>
      <c r="C243" s="573"/>
      <c r="D243" s="573"/>
      <c r="E243" s="573"/>
      <c r="F243" s="573"/>
      <c r="G243" s="573"/>
      <c r="H243" s="573"/>
      <c r="I243" s="573"/>
      <c r="J243" s="573"/>
      <c r="K243" s="573"/>
      <c r="L243" s="573"/>
    </row>
    <row r="244" spans="2:12" ht="31.5" customHeight="1" x14ac:dyDescent="0.25">
      <c r="B244" s="578">
        <v>6</v>
      </c>
      <c r="C244" s="573"/>
      <c r="D244" s="573"/>
      <c r="E244" s="573"/>
      <c r="F244" s="573"/>
      <c r="G244" s="573"/>
      <c r="H244" s="573"/>
      <c r="I244" s="573"/>
      <c r="J244" s="573"/>
      <c r="K244" s="573"/>
      <c r="L244" s="573"/>
    </row>
    <row r="245" spans="2:12" ht="31.5" customHeight="1" x14ac:dyDescent="0.25">
      <c r="B245" s="578">
        <v>7</v>
      </c>
      <c r="C245" s="573"/>
      <c r="D245" s="573"/>
      <c r="E245" s="573"/>
      <c r="F245" s="573"/>
      <c r="G245" s="573"/>
      <c r="H245" s="573"/>
      <c r="I245" s="573"/>
      <c r="J245" s="573"/>
      <c r="K245" s="573"/>
      <c r="L245" s="573"/>
    </row>
    <row r="246" spans="2:12" ht="31.5" customHeight="1" x14ac:dyDescent="0.25">
      <c r="B246" s="578">
        <v>8</v>
      </c>
      <c r="C246" s="573"/>
      <c r="D246" s="573"/>
      <c r="E246" s="573"/>
      <c r="F246" s="573"/>
      <c r="G246" s="573"/>
      <c r="H246" s="573"/>
      <c r="I246" s="573"/>
      <c r="J246" s="573"/>
      <c r="K246" s="573"/>
      <c r="L246" s="573"/>
    </row>
    <row r="247" spans="2:12" ht="31.5" customHeight="1" x14ac:dyDescent="0.25">
      <c r="B247" s="578">
        <v>9</v>
      </c>
      <c r="C247" s="573"/>
      <c r="D247" s="573"/>
      <c r="E247" s="573"/>
      <c r="F247" s="573"/>
      <c r="G247" s="573"/>
      <c r="H247" s="573"/>
      <c r="I247" s="573"/>
      <c r="J247" s="573"/>
      <c r="K247" s="573"/>
      <c r="L247" s="573"/>
    </row>
    <row r="248" spans="2:12" ht="31.5" customHeight="1" x14ac:dyDescent="0.25">
      <c r="B248" s="578">
        <v>10</v>
      </c>
      <c r="C248" s="573"/>
      <c r="D248" s="573"/>
      <c r="E248" s="573"/>
      <c r="F248" s="573"/>
      <c r="G248" s="573"/>
      <c r="H248" s="573"/>
      <c r="I248" s="573"/>
      <c r="J248" s="573"/>
      <c r="K248" s="573"/>
      <c r="L248" s="573"/>
    </row>
    <row r="249" spans="2:12" ht="31.5" customHeight="1" x14ac:dyDescent="0.25">
      <c r="B249" s="578">
        <v>11</v>
      </c>
      <c r="C249" s="573"/>
      <c r="D249" s="573"/>
      <c r="E249" s="573"/>
      <c r="F249" s="573"/>
      <c r="G249" s="573"/>
      <c r="H249" s="573"/>
      <c r="I249" s="573"/>
      <c r="J249" s="573"/>
      <c r="K249" s="573"/>
      <c r="L249" s="573"/>
    </row>
    <row r="250" spans="2:12" ht="31.5" customHeight="1" thickBot="1" x14ac:dyDescent="0.3">
      <c r="B250" s="579">
        <v>12</v>
      </c>
      <c r="C250" s="574"/>
      <c r="D250" s="574"/>
      <c r="E250" s="574"/>
      <c r="F250" s="574"/>
      <c r="G250" s="574"/>
      <c r="H250" s="574"/>
      <c r="I250" s="574"/>
      <c r="J250" s="574"/>
      <c r="K250" s="574"/>
      <c r="L250" s="574"/>
    </row>
    <row r="251" spans="2:12" ht="6" customHeight="1" x14ac:dyDescent="0.25"/>
    <row r="252" spans="2:12" ht="24" customHeight="1" x14ac:dyDescent="0.25">
      <c r="B252" s="700" t="s">
        <v>6190</v>
      </c>
      <c r="C252" s="700"/>
      <c r="D252" s="700"/>
      <c r="E252" s="700"/>
      <c r="F252" s="700"/>
      <c r="G252" s="700"/>
      <c r="H252" s="700"/>
      <c r="I252" s="700"/>
      <c r="J252" s="700"/>
      <c r="K252" s="700"/>
      <c r="L252" s="700"/>
    </row>
    <row r="253" spans="2:12" ht="24" customHeight="1" x14ac:dyDescent="0.25">
      <c r="B253" s="700"/>
      <c r="C253" s="700"/>
      <c r="D253" s="700"/>
      <c r="E253" s="700"/>
      <c r="F253" s="700"/>
      <c r="G253" s="700"/>
      <c r="H253" s="700"/>
      <c r="I253" s="700"/>
      <c r="J253" s="700"/>
      <c r="K253" s="700"/>
      <c r="L253" s="700"/>
    </row>
    <row r="254" spans="2:12" ht="16.5" customHeight="1" x14ac:dyDescent="0.25">
      <c r="F254" s="696" t="s">
        <v>6185</v>
      </c>
      <c r="G254" s="697"/>
      <c r="H254" s="697"/>
      <c r="I254" s="697"/>
      <c r="K254" s="699" t="s">
        <v>6180</v>
      </c>
      <c r="L254" s="616"/>
    </row>
    <row r="255" spans="2:12" ht="16.5" customHeight="1" thickBot="1" x14ac:dyDescent="0.3">
      <c r="F255" s="698"/>
      <c r="G255" s="698"/>
      <c r="H255" s="698"/>
      <c r="I255" s="698"/>
      <c r="K255" s="616"/>
      <c r="L255" s="616"/>
    </row>
    <row r="256" spans="2:12" ht="16.5" customHeight="1" x14ac:dyDescent="0.25">
      <c r="F256" s="690" t="str">
        <f>'Competition Menu'!E13</f>
        <v>Team 13</v>
      </c>
      <c r="G256" s="691"/>
      <c r="H256" s="691"/>
      <c r="I256" s="692"/>
      <c r="K256" s="639"/>
      <c r="L256" s="639"/>
    </row>
    <row r="257" spans="2:12" ht="16.5" customHeight="1" thickBot="1" x14ac:dyDescent="0.3">
      <c r="F257" s="693"/>
      <c r="G257" s="694"/>
      <c r="H257" s="694"/>
      <c r="I257" s="695"/>
    </row>
    <row r="258" spans="2:12" ht="11.25" customHeight="1" thickBot="1" x14ac:dyDescent="0.3"/>
    <row r="259" spans="2:12" ht="36" customHeight="1" thickBot="1" x14ac:dyDescent="0.3">
      <c r="B259" s="576" t="s">
        <v>6184</v>
      </c>
      <c r="C259" s="586" t="s">
        <v>6191</v>
      </c>
      <c r="D259" s="315" t="s">
        <v>6181</v>
      </c>
      <c r="E259" s="315" t="s">
        <v>6182</v>
      </c>
      <c r="F259" s="315" t="s">
        <v>6183</v>
      </c>
      <c r="G259" s="315" t="s">
        <v>56</v>
      </c>
      <c r="H259" s="315" t="s">
        <v>57</v>
      </c>
      <c r="I259" s="315" t="s">
        <v>58</v>
      </c>
      <c r="J259" s="315" t="s">
        <v>59</v>
      </c>
      <c r="K259" s="315" t="s">
        <v>60</v>
      </c>
      <c r="L259" s="315" t="s">
        <v>61</v>
      </c>
    </row>
    <row r="260" spans="2:12" ht="31.5" customHeight="1" x14ac:dyDescent="0.25">
      <c r="B260" s="577">
        <v>1</v>
      </c>
      <c r="C260" s="575"/>
      <c r="D260" s="575"/>
      <c r="E260" s="575"/>
      <c r="F260" s="575"/>
      <c r="G260" s="575"/>
      <c r="H260" s="575"/>
      <c r="I260" s="575"/>
      <c r="J260" s="575"/>
      <c r="K260" s="575"/>
      <c r="L260" s="575"/>
    </row>
    <row r="261" spans="2:12" ht="31.5" customHeight="1" x14ac:dyDescent="0.25">
      <c r="B261" s="578">
        <v>2</v>
      </c>
      <c r="C261" s="573"/>
      <c r="D261" s="573"/>
      <c r="E261" s="573"/>
      <c r="F261" s="573"/>
      <c r="G261" s="573"/>
      <c r="H261" s="573"/>
      <c r="I261" s="573"/>
      <c r="J261" s="573"/>
      <c r="K261" s="573"/>
      <c r="L261" s="573"/>
    </row>
    <row r="262" spans="2:12" ht="31.5" customHeight="1" x14ac:dyDescent="0.25">
      <c r="B262" s="578">
        <v>3</v>
      </c>
      <c r="C262" s="573"/>
      <c r="D262" s="573"/>
      <c r="E262" s="573"/>
      <c r="F262" s="573"/>
      <c r="G262" s="573"/>
      <c r="H262" s="573"/>
      <c r="I262" s="573"/>
      <c r="J262" s="573"/>
      <c r="K262" s="573"/>
      <c r="L262" s="573"/>
    </row>
    <row r="263" spans="2:12" ht="31.5" customHeight="1" x14ac:dyDescent="0.25">
      <c r="B263" s="578">
        <v>4</v>
      </c>
      <c r="C263" s="573"/>
      <c r="D263" s="573"/>
      <c r="E263" s="573"/>
      <c r="F263" s="573"/>
      <c r="G263" s="573"/>
      <c r="H263" s="573"/>
      <c r="I263" s="573"/>
      <c r="J263" s="573"/>
      <c r="K263" s="573"/>
      <c r="L263" s="573"/>
    </row>
    <row r="264" spans="2:12" ht="31.5" customHeight="1" x14ac:dyDescent="0.25">
      <c r="B264" s="578">
        <v>5</v>
      </c>
      <c r="C264" s="573"/>
      <c r="D264" s="573"/>
      <c r="E264" s="573"/>
      <c r="F264" s="573"/>
      <c r="G264" s="573"/>
      <c r="H264" s="573"/>
      <c r="I264" s="573"/>
      <c r="J264" s="573"/>
      <c r="K264" s="573"/>
      <c r="L264" s="573"/>
    </row>
    <row r="265" spans="2:12" ht="31.5" customHeight="1" x14ac:dyDescent="0.25">
      <c r="B265" s="578">
        <v>6</v>
      </c>
      <c r="C265" s="573"/>
      <c r="D265" s="573"/>
      <c r="E265" s="573"/>
      <c r="F265" s="573"/>
      <c r="G265" s="573"/>
      <c r="H265" s="573"/>
      <c r="I265" s="573"/>
      <c r="J265" s="573"/>
      <c r="K265" s="573"/>
      <c r="L265" s="573"/>
    </row>
    <row r="266" spans="2:12" ht="31.5" customHeight="1" x14ac:dyDescent="0.25">
      <c r="B266" s="578">
        <v>7</v>
      </c>
      <c r="C266" s="573"/>
      <c r="D266" s="573"/>
      <c r="E266" s="573"/>
      <c r="F266" s="573"/>
      <c r="G266" s="573"/>
      <c r="H266" s="573"/>
      <c r="I266" s="573"/>
      <c r="J266" s="573"/>
      <c r="K266" s="573"/>
      <c r="L266" s="573"/>
    </row>
    <row r="267" spans="2:12" ht="31.5" customHeight="1" x14ac:dyDescent="0.25">
      <c r="B267" s="578">
        <v>8</v>
      </c>
      <c r="C267" s="573"/>
      <c r="D267" s="573"/>
      <c r="E267" s="573"/>
      <c r="F267" s="573"/>
      <c r="G267" s="573"/>
      <c r="H267" s="573"/>
      <c r="I267" s="573"/>
      <c r="J267" s="573"/>
      <c r="K267" s="573"/>
      <c r="L267" s="573"/>
    </row>
    <row r="268" spans="2:12" ht="31.5" customHeight="1" x14ac:dyDescent="0.25">
      <c r="B268" s="578">
        <v>9</v>
      </c>
      <c r="C268" s="573"/>
      <c r="D268" s="573"/>
      <c r="E268" s="573"/>
      <c r="F268" s="573"/>
      <c r="G268" s="573"/>
      <c r="H268" s="573"/>
      <c r="I268" s="573"/>
      <c r="J268" s="573"/>
      <c r="K268" s="573"/>
      <c r="L268" s="573"/>
    </row>
    <row r="269" spans="2:12" ht="31.5" customHeight="1" x14ac:dyDescent="0.25">
      <c r="B269" s="578">
        <v>10</v>
      </c>
      <c r="C269" s="573"/>
      <c r="D269" s="573"/>
      <c r="E269" s="573"/>
      <c r="F269" s="573"/>
      <c r="G269" s="573"/>
      <c r="H269" s="573"/>
      <c r="I269" s="573"/>
      <c r="J269" s="573"/>
      <c r="K269" s="573"/>
      <c r="L269" s="573"/>
    </row>
    <row r="270" spans="2:12" ht="31.5" customHeight="1" x14ac:dyDescent="0.25">
      <c r="B270" s="578">
        <v>11</v>
      </c>
      <c r="C270" s="573"/>
      <c r="D270" s="573"/>
      <c r="E270" s="573"/>
      <c r="F270" s="573"/>
      <c r="G270" s="573"/>
      <c r="H270" s="573"/>
      <c r="I270" s="573"/>
      <c r="J270" s="573"/>
      <c r="K270" s="573"/>
      <c r="L270" s="573"/>
    </row>
    <row r="271" spans="2:12" ht="31.5" customHeight="1" thickBot="1" x14ac:dyDescent="0.3">
      <c r="B271" s="579">
        <v>12</v>
      </c>
      <c r="C271" s="574"/>
      <c r="D271" s="574"/>
      <c r="E271" s="574"/>
      <c r="F271" s="574"/>
      <c r="G271" s="574"/>
      <c r="H271" s="574"/>
      <c r="I271" s="574"/>
      <c r="J271" s="574"/>
      <c r="K271" s="574"/>
      <c r="L271" s="574"/>
    </row>
    <row r="272" spans="2:12" ht="6" customHeight="1" x14ac:dyDescent="0.25"/>
    <row r="273" spans="2:12" ht="24" customHeight="1" x14ac:dyDescent="0.25">
      <c r="B273" s="700" t="s">
        <v>6190</v>
      </c>
      <c r="C273" s="700"/>
      <c r="D273" s="700"/>
      <c r="E273" s="700"/>
      <c r="F273" s="700"/>
      <c r="G273" s="700"/>
      <c r="H273" s="700"/>
      <c r="I273" s="700"/>
      <c r="J273" s="700"/>
      <c r="K273" s="700"/>
      <c r="L273" s="700"/>
    </row>
    <row r="274" spans="2:12" ht="24" customHeight="1" x14ac:dyDescent="0.25">
      <c r="B274" s="700"/>
      <c r="C274" s="700"/>
      <c r="D274" s="700"/>
      <c r="E274" s="700"/>
      <c r="F274" s="700"/>
      <c r="G274" s="700"/>
      <c r="H274" s="700"/>
      <c r="I274" s="700"/>
      <c r="J274" s="700"/>
      <c r="K274" s="700"/>
      <c r="L274" s="700"/>
    </row>
    <row r="275" spans="2:12" ht="16.5" customHeight="1" x14ac:dyDescent="0.25">
      <c r="F275" s="696" t="s">
        <v>6185</v>
      </c>
      <c r="G275" s="697"/>
      <c r="H275" s="697"/>
      <c r="I275" s="697"/>
      <c r="K275" s="699" t="s">
        <v>6180</v>
      </c>
      <c r="L275" s="616"/>
    </row>
    <row r="276" spans="2:12" ht="16.5" customHeight="1" thickBot="1" x14ac:dyDescent="0.3">
      <c r="F276" s="698"/>
      <c r="G276" s="698"/>
      <c r="H276" s="698"/>
      <c r="I276" s="698"/>
      <c r="K276" s="616"/>
      <c r="L276" s="616"/>
    </row>
    <row r="277" spans="2:12" ht="16.5" customHeight="1" x14ac:dyDescent="0.25">
      <c r="F277" s="690" t="str">
        <f>'Competition Menu'!E14</f>
        <v>Team 14</v>
      </c>
      <c r="G277" s="691"/>
      <c r="H277" s="691"/>
      <c r="I277" s="692"/>
      <c r="K277" s="639"/>
      <c r="L277" s="639"/>
    </row>
    <row r="278" spans="2:12" ht="16.5" customHeight="1" thickBot="1" x14ac:dyDescent="0.3">
      <c r="F278" s="693"/>
      <c r="G278" s="694"/>
      <c r="H278" s="694"/>
      <c r="I278" s="695"/>
    </row>
    <row r="279" spans="2:12" ht="11.25" customHeight="1" thickBot="1" x14ac:dyDescent="0.3"/>
    <row r="280" spans="2:12" ht="36" customHeight="1" thickBot="1" x14ac:dyDescent="0.3">
      <c r="B280" s="576" t="s">
        <v>6184</v>
      </c>
      <c r="C280" s="586" t="s">
        <v>6191</v>
      </c>
      <c r="D280" s="315" t="s">
        <v>6181</v>
      </c>
      <c r="E280" s="315" t="s">
        <v>6182</v>
      </c>
      <c r="F280" s="315" t="s">
        <v>6183</v>
      </c>
      <c r="G280" s="315" t="s">
        <v>56</v>
      </c>
      <c r="H280" s="315" t="s">
        <v>57</v>
      </c>
      <c r="I280" s="315" t="s">
        <v>58</v>
      </c>
      <c r="J280" s="315" t="s">
        <v>59</v>
      </c>
      <c r="K280" s="315" t="s">
        <v>60</v>
      </c>
      <c r="L280" s="315" t="s">
        <v>61</v>
      </c>
    </row>
    <row r="281" spans="2:12" ht="31.5" customHeight="1" x14ac:dyDescent="0.25">
      <c r="B281" s="577">
        <v>1</v>
      </c>
      <c r="C281" s="575"/>
      <c r="D281" s="575"/>
      <c r="E281" s="575"/>
      <c r="F281" s="575"/>
      <c r="G281" s="575"/>
      <c r="H281" s="575"/>
      <c r="I281" s="575"/>
      <c r="J281" s="575"/>
      <c r="K281" s="575"/>
      <c r="L281" s="575"/>
    </row>
    <row r="282" spans="2:12" ht="31.5" customHeight="1" x14ac:dyDescent="0.25">
      <c r="B282" s="578">
        <v>2</v>
      </c>
      <c r="C282" s="573"/>
      <c r="D282" s="573"/>
      <c r="E282" s="573"/>
      <c r="F282" s="573"/>
      <c r="G282" s="573"/>
      <c r="H282" s="573"/>
      <c r="I282" s="573"/>
      <c r="J282" s="573"/>
      <c r="K282" s="573"/>
      <c r="L282" s="573"/>
    </row>
    <row r="283" spans="2:12" ht="31.5" customHeight="1" x14ac:dyDescent="0.25">
      <c r="B283" s="578">
        <v>3</v>
      </c>
      <c r="C283" s="573"/>
      <c r="D283" s="573"/>
      <c r="E283" s="573"/>
      <c r="F283" s="573"/>
      <c r="G283" s="573"/>
      <c r="H283" s="573"/>
      <c r="I283" s="573"/>
      <c r="J283" s="573"/>
      <c r="K283" s="573"/>
      <c r="L283" s="573"/>
    </row>
    <row r="284" spans="2:12" ht="31.5" customHeight="1" x14ac:dyDescent="0.25">
      <c r="B284" s="578">
        <v>4</v>
      </c>
      <c r="C284" s="573"/>
      <c r="D284" s="573"/>
      <c r="E284" s="573"/>
      <c r="F284" s="573"/>
      <c r="G284" s="573"/>
      <c r="H284" s="573"/>
      <c r="I284" s="573"/>
      <c r="J284" s="573"/>
      <c r="K284" s="573"/>
      <c r="L284" s="573"/>
    </row>
    <row r="285" spans="2:12" ht="31.5" customHeight="1" x14ac:dyDescent="0.25">
      <c r="B285" s="578">
        <v>5</v>
      </c>
      <c r="C285" s="573"/>
      <c r="D285" s="573"/>
      <c r="E285" s="573"/>
      <c r="F285" s="573"/>
      <c r="G285" s="573"/>
      <c r="H285" s="573"/>
      <c r="I285" s="573"/>
      <c r="J285" s="573"/>
      <c r="K285" s="573"/>
      <c r="L285" s="573"/>
    </row>
    <row r="286" spans="2:12" ht="31.5" customHeight="1" x14ac:dyDescent="0.25">
      <c r="B286" s="578">
        <v>6</v>
      </c>
      <c r="C286" s="573"/>
      <c r="D286" s="573"/>
      <c r="E286" s="573"/>
      <c r="F286" s="573"/>
      <c r="G286" s="573"/>
      <c r="H286" s="573"/>
      <c r="I286" s="573"/>
      <c r="J286" s="573"/>
      <c r="K286" s="573"/>
      <c r="L286" s="573"/>
    </row>
    <row r="287" spans="2:12" ht="31.5" customHeight="1" x14ac:dyDescent="0.25">
      <c r="B287" s="578">
        <v>7</v>
      </c>
      <c r="C287" s="573"/>
      <c r="D287" s="573"/>
      <c r="E287" s="573"/>
      <c r="F287" s="573"/>
      <c r="G287" s="573"/>
      <c r="H287" s="573"/>
      <c r="I287" s="573"/>
      <c r="J287" s="573"/>
      <c r="K287" s="573"/>
      <c r="L287" s="573"/>
    </row>
    <row r="288" spans="2:12" ht="31.5" customHeight="1" x14ac:dyDescent="0.25">
      <c r="B288" s="578">
        <v>8</v>
      </c>
      <c r="C288" s="573"/>
      <c r="D288" s="573"/>
      <c r="E288" s="573"/>
      <c r="F288" s="573"/>
      <c r="G288" s="573"/>
      <c r="H288" s="573"/>
      <c r="I288" s="573"/>
      <c r="J288" s="573"/>
      <c r="K288" s="573"/>
      <c r="L288" s="573"/>
    </row>
    <row r="289" spans="2:12" ht="31.5" customHeight="1" x14ac:dyDescent="0.25">
      <c r="B289" s="578">
        <v>9</v>
      </c>
      <c r="C289" s="573"/>
      <c r="D289" s="573"/>
      <c r="E289" s="573"/>
      <c r="F289" s="573"/>
      <c r="G289" s="573"/>
      <c r="H289" s="573"/>
      <c r="I289" s="573"/>
      <c r="J289" s="573"/>
      <c r="K289" s="573"/>
      <c r="L289" s="573"/>
    </row>
    <row r="290" spans="2:12" ht="31.5" customHeight="1" x14ac:dyDescent="0.25">
      <c r="B290" s="578">
        <v>10</v>
      </c>
      <c r="C290" s="573"/>
      <c r="D290" s="573"/>
      <c r="E290" s="573"/>
      <c r="F290" s="573"/>
      <c r="G290" s="573"/>
      <c r="H290" s="573"/>
      <c r="I290" s="573"/>
      <c r="J290" s="573"/>
      <c r="K290" s="573"/>
      <c r="L290" s="573"/>
    </row>
    <row r="291" spans="2:12" ht="31.5" customHeight="1" x14ac:dyDescent="0.25">
      <c r="B291" s="578">
        <v>11</v>
      </c>
      <c r="C291" s="573"/>
      <c r="D291" s="573"/>
      <c r="E291" s="573"/>
      <c r="F291" s="573"/>
      <c r="G291" s="573"/>
      <c r="H291" s="573"/>
      <c r="I291" s="573"/>
      <c r="J291" s="573"/>
      <c r="K291" s="573"/>
      <c r="L291" s="573"/>
    </row>
    <row r="292" spans="2:12" ht="31.5" customHeight="1" thickBot="1" x14ac:dyDescent="0.3">
      <c r="B292" s="579">
        <v>12</v>
      </c>
      <c r="C292" s="574"/>
      <c r="D292" s="574"/>
      <c r="E292" s="574"/>
      <c r="F292" s="574"/>
      <c r="G292" s="574"/>
      <c r="H292" s="574"/>
      <c r="I292" s="574"/>
      <c r="J292" s="574"/>
      <c r="K292" s="574"/>
      <c r="L292" s="574"/>
    </row>
    <row r="293" spans="2:12" ht="6" customHeight="1" x14ac:dyDescent="0.25"/>
    <row r="294" spans="2:12" ht="24" customHeight="1" x14ac:dyDescent="0.25">
      <c r="B294" s="700" t="s">
        <v>6190</v>
      </c>
      <c r="C294" s="700"/>
      <c r="D294" s="700"/>
      <c r="E294" s="700"/>
      <c r="F294" s="700"/>
      <c r="G294" s="700"/>
      <c r="H294" s="700"/>
      <c r="I294" s="700"/>
      <c r="J294" s="700"/>
      <c r="K294" s="700"/>
      <c r="L294" s="700"/>
    </row>
    <row r="295" spans="2:12" ht="24" customHeight="1" x14ac:dyDescent="0.25">
      <c r="B295" s="700"/>
      <c r="C295" s="700"/>
      <c r="D295" s="700"/>
      <c r="E295" s="700"/>
      <c r="F295" s="700"/>
      <c r="G295" s="700"/>
      <c r="H295" s="700"/>
      <c r="I295" s="700"/>
      <c r="J295" s="700"/>
      <c r="K295" s="700"/>
      <c r="L295" s="700"/>
    </row>
    <row r="296" spans="2:12" ht="16.5" customHeight="1" x14ac:dyDescent="0.25">
      <c r="F296" s="696" t="s">
        <v>6185</v>
      </c>
      <c r="G296" s="697"/>
      <c r="H296" s="697"/>
      <c r="I296" s="697"/>
      <c r="K296" s="699" t="s">
        <v>6180</v>
      </c>
      <c r="L296" s="616"/>
    </row>
    <row r="297" spans="2:12" ht="16.5" customHeight="1" thickBot="1" x14ac:dyDescent="0.3">
      <c r="F297" s="698"/>
      <c r="G297" s="698"/>
      <c r="H297" s="698"/>
      <c r="I297" s="698"/>
      <c r="K297" s="616"/>
      <c r="L297" s="616"/>
    </row>
    <row r="298" spans="2:12" ht="16.5" customHeight="1" x14ac:dyDescent="0.25">
      <c r="F298" s="690" t="str">
        <f>'Competition Menu'!E15</f>
        <v>Team 15</v>
      </c>
      <c r="G298" s="691"/>
      <c r="H298" s="691"/>
      <c r="I298" s="692"/>
      <c r="K298" s="639"/>
      <c r="L298" s="639"/>
    </row>
    <row r="299" spans="2:12" ht="16.5" customHeight="1" thickBot="1" x14ac:dyDescent="0.3">
      <c r="F299" s="693"/>
      <c r="G299" s="694"/>
      <c r="H299" s="694"/>
      <c r="I299" s="695"/>
    </row>
    <row r="300" spans="2:12" ht="11.25" customHeight="1" thickBot="1" x14ac:dyDescent="0.3"/>
    <row r="301" spans="2:12" ht="36" customHeight="1" thickBot="1" x14ac:dyDescent="0.3">
      <c r="B301" s="576" t="s">
        <v>6184</v>
      </c>
      <c r="C301" s="586" t="s">
        <v>6191</v>
      </c>
      <c r="D301" s="315" t="s">
        <v>6181</v>
      </c>
      <c r="E301" s="315" t="s">
        <v>6182</v>
      </c>
      <c r="F301" s="315" t="s">
        <v>6183</v>
      </c>
      <c r="G301" s="315" t="s">
        <v>56</v>
      </c>
      <c r="H301" s="315" t="s">
        <v>57</v>
      </c>
      <c r="I301" s="315" t="s">
        <v>58</v>
      </c>
      <c r="J301" s="315" t="s">
        <v>59</v>
      </c>
      <c r="K301" s="315" t="s">
        <v>60</v>
      </c>
      <c r="L301" s="315" t="s">
        <v>61</v>
      </c>
    </row>
    <row r="302" spans="2:12" ht="31.5" customHeight="1" x14ac:dyDescent="0.25">
      <c r="B302" s="577">
        <v>1</v>
      </c>
      <c r="C302" s="575"/>
      <c r="D302" s="575"/>
      <c r="E302" s="575"/>
      <c r="F302" s="575"/>
      <c r="G302" s="575"/>
      <c r="H302" s="575"/>
      <c r="I302" s="575"/>
      <c r="J302" s="575"/>
      <c r="K302" s="575"/>
      <c r="L302" s="575"/>
    </row>
    <row r="303" spans="2:12" ht="31.5" customHeight="1" x14ac:dyDescent="0.25">
      <c r="B303" s="578">
        <v>2</v>
      </c>
      <c r="C303" s="573"/>
      <c r="D303" s="573"/>
      <c r="E303" s="573"/>
      <c r="F303" s="573"/>
      <c r="G303" s="573"/>
      <c r="H303" s="573"/>
      <c r="I303" s="573"/>
      <c r="J303" s="573"/>
      <c r="K303" s="573"/>
      <c r="L303" s="573"/>
    </row>
    <row r="304" spans="2:12" ht="31.5" customHeight="1" x14ac:dyDescent="0.25">
      <c r="B304" s="578">
        <v>3</v>
      </c>
      <c r="C304" s="573"/>
      <c r="D304" s="573"/>
      <c r="E304" s="573"/>
      <c r="F304" s="573"/>
      <c r="G304" s="573"/>
      <c r="H304" s="573"/>
      <c r="I304" s="573"/>
      <c r="J304" s="573"/>
      <c r="K304" s="573"/>
      <c r="L304" s="573"/>
    </row>
    <row r="305" spans="2:12" ht="31.5" customHeight="1" x14ac:dyDescent="0.25">
      <c r="B305" s="578">
        <v>4</v>
      </c>
      <c r="C305" s="573"/>
      <c r="D305" s="573"/>
      <c r="E305" s="573"/>
      <c r="F305" s="573"/>
      <c r="G305" s="573"/>
      <c r="H305" s="573"/>
      <c r="I305" s="573"/>
      <c r="J305" s="573"/>
      <c r="K305" s="573"/>
      <c r="L305" s="573"/>
    </row>
    <row r="306" spans="2:12" ht="31.5" customHeight="1" x14ac:dyDescent="0.25">
      <c r="B306" s="578">
        <v>5</v>
      </c>
      <c r="C306" s="573"/>
      <c r="D306" s="573"/>
      <c r="E306" s="573"/>
      <c r="F306" s="573"/>
      <c r="G306" s="573"/>
      <c r="H306" s="573"/>
      <c r="I306" s="573"/>
      <c r="J306" s="573"/>
      <c r="K306" s="573"/>
      <c r="L306" s="573"/>
    </row>
    <row r="307" spans="2:12" ht="31.5" customHeight="1" x14ac:dyDescent="0.25">
      <c r="B307" s="578">
        <v>6</v>
      </c>
      <c r="C307" s="573"/>
      <c r="D307" s="573"/>
      <c r="E307" s="573"/>
      <c r="F307" s="573"/>
      <c r="G307" s="573"/>
      <c r="H307" s="573"/>
      <c r="I307" s="573"/>
      <c r="J307" s="573"/>
      <c r="K307" s="573"/>
      <c r="L307" s="573"/>
    </row>
    <row r="308" spans="2:12" ht="31.5" customHeight="1" x14ac:dyDescent="0.25">
      <c r="B308" s="578">
        <v>7</v>
      </c>
      <c r="C308" s="573"/>
      <c r="D308" s="573"/>
      <c r="E308" s="573"/>
      <c r="F308" s="573"/>
      <c r="G308" s="573"/>
      <c r="H308" s="573"/>
      <c r="I308" s="573"/>
      <c r="J308" s="573"/>
      <c r="K308" s="573"/>
      <c r="L308" s="573"/>
    </row>
    <row r="309" spans="2:12" ht="31.5" customHeight="1" x14ac:dyDescent="0.25">
      <c r="B309" s="578">
        <v>8</v>
      </c>
      <c r="C309" s="573"/>
      <c r="D309" s="573"/>
      <c r="E309" s="573"/>
      <c r="F309" s="573"/>
      <c r="G309" s="573"/>
      <c r="H309" s="573"/>
      <c r="I309" s="573"/>
      <c r="J309" s="573"/>
      <c r="K309" s="573"/>
      <c r="L309" s="573"/>
    </row>
    <row r="310" spans="2:12" ht="31.5" customHeight="1" x14ac:dyDescent="0.25">
      <c r="B310" s="578">
        <v>9</v>
      </c>
      <c r="C310" s="573"/>
      <c r="D310" s="573"/>
      <c r="E310" s="573"/>
      <c r="F310" s="573"/>
      <c r="G310" s="573"/>
      <c r="H310" s="573"/>
      <c r="I310" s="573"/>
      <c r="J310" s="573"/>
      <c r="K310" s="573"/>
      <c r="L310" s="573"/>
    </row>
    <row r="311" spans="2:12" ht="31.5" customHeight="1" x14ac:dyDescent="0.25">
      <c r="B311" s="578">
        <v>10</v>
      </c>
      <c r="C311" s="573"/>
      <c r="D311" s="573"/>
      <c r="E311" s="573"/>
      <c r="F311" s="573"/>
      <c r="G311" s="573"/>
      <c r="H311" s="573"/>
      <c r="I311" s="573"/>
      <c r="J311" s="573"/>
      <c r="K311" s="573"/>
      <c r="L311" s="573"/>
    </row>
    <row r="312" spans="2:12" ht="31.5" customHeight="1" x14ac:dyDescent="0.25">
      <c r="B312" s="578">
        <v>11</v>
      </c>
      <c r="C312" s="573"/>
      <c r="D312" s="573"/>
      <c r="E312" s="573"/>
      <c r="F312" s="573"/>
      <c r="G312" s="573"/>
      <c r="H312" s="573"/>
      <c r="I312" s="573"/>
      <c r="J312" s="573"/>
      <c r="K312" s="573"/>
      <c r="L312" s="573"/>
    </row>
    <row r="313" spans="2:12" ht="31.5" customHeight="1" thickBot="1" x14ac:dyDescent="0.3">
      <c r="B313" s="579">
        <v>12</v>
      </c>
      <c r="C313" s="574"/>
      <c r="D313" s="574"/>
      <c r="E313" s="574"/>
      <c r="F313" s="574"/>
      <c r="G313" s="574"/>
      <c r="H313" s="574"/>
      <c r="I313" s="574"/>
      <c r="J313" s="574"/>
      <c r="K313" s="574"/>
      <c r="L313" s="574"/>
    </row>
    <row r="314" spans="2:12" ht="6" customHeight="1" x14ac:dyDescent="0.25"/>
    <row r="315" spans="2:12" ht="24" customHeight="1" x14ac:dyDescent="0.25">
      <c r="B315" s="700" t="s">
        <v>6190</v>
      </c>
      <c r="C315" s="700"/>
      <c r="D315" s="700"/>
      <c r="E315" s="700"/>
      <c r="F315" s="700"/>
      <c r="G315" s="700"/>
      <c r="H315" s="700"/>
      <c r="I315" s="700"/>
      <c r="J315" s="700"/>
      <c r="K315" s="700"/>
      <c r="L315" s="700"/>
    </row>
    <row r="316" spans="2:12" ht="24" customHeight="1" x14ac:dyDescent="0.25">
      <c r="B316" s="700"/>
      <c r="C316" s="700"/>
      <c r="D316" s="700"/>
      <c r="E316" s="700"/>
      <c r="F316" s="700"/>
      <c r="G316" s="700"/>
      <c r="H316" s="700"/>
      <c r="I316" s="700"/>
      <c r="J316" s="700"/>
      <c r="K316" s="700"/>
      <c r="L316" s="700"/>
    </row>
    <row r="317" spans="2:12" ht="16.5" customHeight="1" x14ac:dyDescent="0.25">
      <c r="F317" s="696" t="s">
        <v>6185</v>
      </c>
      <c r="G317" s="697"/>
      <c r="H317" s="697"/>
      <c r="I317" s="697"/>
      <c r="K317" s="699" t="s">
        <v>6180</v>
      </c>
      <c r="L317" s="616"/>
    </row>
    <row r="318" spans="2:12" ht="16.5" customHeight="1" thickBot="1" x14ac:dyDescent="0.3">
      <c r="F318" s="698"/>
      <c r="G318" s="698"/>
      <c r="H318" s="698"/>
      <c r="I318" s="698"/>
      <c r="K318" s="616"/>
      <c r="L318" s="616"/>
    </row>
    <row r="319" spans="2:12" ht="16.5" customHeight="1" x14ac:dyDescent="0.25">
      <c r="F319" s="690" t="str">
        <f>'Competition Menu'!E16</f>
        <v>Team 16</v>
      </c>
      <c r="G319" s="691"/>
      <c r="H319" s="691"/>
      <c r="I319" s="692"/>
      <c r="K319" s="639"/>
      <c r="L319" s="639"/>
    </row>
    <row r="320" spans="2:12" ht="16.5" customHeight="1" thickBot="1" x14ac:dyDescent="0.3">
      <c r="F320" s="693"/>
      <c r="G320" s="694"/>
      <c r="H320" s="694"/>
      <c r="I320" s="695"/>
    </row>
    <row r="321" spans="2:12" ht="11.25" customHeight="1" thickBot="1" x14ac:dyDescent="0.3"/>
    <row r="322" spans="2:12" ht="36" customHeight="1" thickBot="1" x14ac:dyDescent="0.3">
      <c r="B322" s="576" t="s">
        <v>6184</v>
      </c>
      <c r="C322" s="586" t="s">
        <v>6191</v>
      </c>
      <c r="D322" s="315" t="s">
        <v>6181</v>
      </c>
      <c r="E322" s="315" t="s">
        <v>6182</v>
      </c>
      <c r="F322" s="315" t="s">
        <v>6183</v>
      </c>
      <c r="G322" s="315" t="s">
        <v>56</v>
      </c>
      <c r="H322" s="315" t="s">
        <v>57</v>
      </c>
      <c r="I322" s="315" t="s">
        <v>58</v>
      </c>
      <c r="J322" s="315" t="s">
        <v>59</v>
      </c>
      <c r="K322" s="315" t="s">
        <v>60</v>
      </c>
      <c r="L322" s="315" t="s">
        <v>61</v>
      </c>
    </row>
    <row r="323" spans="2:12" ht="31.5" customHeight="1" x14ac:dyDescent="0.25">
      <c r="B323" s="577">
        <v>1</v>
      </c>
      <c r="C323" s="575"/>
      <c r="D323" s="575"/>
      <c r="E323" s="575"/>
      <c r="F323" s="575"/>
      <c r="G323" s="575"/>
      <c r="H323" s="575"/>
      <c r="I323" s="575"/>
      <c r="J323" s="575"/>
      <c r="K323" s="575"/>
      <c r="L323" s="575"/>
    </row>
    <row r="324" spans="2:12" ht="31.5" customHeight="1" x14ac:dyDescent="0.25">
      <c r="B324" s="578">
        <v>2</v>
      </c>
      <c r="C324" s="573"/>
      <c r="D324" s="573"/>
      <c r="E324" s="573"/>
      <c r="F324" s="573"/>
      <c r="G324" s="573"/>
      <c r="H324" s="573"/>
      <c r="I324" s="573"/>
      <c r="J324" s="573"/>
      <c r="K324" s="573"/>
      <c r="L324" s="573"/>
    </row>
    <row r="325" spans="2:12" ht="31.5" customHeight="1" x14ac:dyDescent="0.25">
      <c r="B325" s="578">
        <v>3</v>
      </c>
      <c r="C325" s="573"/>
      <c r="D325" s="573"/>
      <c r="E325" s="573"/>
      <c r="F325" s="573"/>
      <c r="G325" s="573"/>
      <c r="H325" s="573"/>
      <c r="I325" s="573"/>
      <c r="J325" s="573"/>
      <c r="K325" s="573"/>
      <c r="L325" s="573"/>
    </row>
    <row r="326" spans="2:12" ht="31.5" customHeight="1" x14ac:dyDescent="0.25">
      <c r="B326" s="578">
        <v>4</v>
      </c>
      <c r="C326" s="573"/>
      <c r="D326" s="573"/>
      <c r="E326" s="573"/>
      <c r="F326" s="573"/>
      <c r="G326" s="573"/>
      <c r="H326" s="573"/>
      <c r="I326" s="573"/>
      <c r="J326" s="573"/>
      <c r="K326" s="573"/>
      <c r="L326" s="573"/>
    </row>
    <row r="327" spans="2:12" ht="31.5" customHeight="1" x14ac:dyDescent="0.25">
      <c r="B327" s="578">
        <v>5</v>
      </c>
      <c r="C327" s="573"/>
      <c r="D327" s="573"/>
      <c r="E327" s="573"/>
      <c r="F327" s="573"/>
      <c r="G327" s="573"/>
      <c r="H327" s="573"/>
      <c r="I327" s="573"/>
      <c r="J327" s="573"/>
      <c r="K327" s="573"/>
      <c r="L327" s="573"/>
    </row>
    <row r="328" spans="2:12" ht="31.5" customHeight="1" x14ac:dyDescent="0.25">
      <c r="B328" s="578">
        <v>6</v>
      </c>
      <c r="C328" s="573"/>
      <c r="D328" s="573"/>
      <c r="E328" s="573"/>
      <c r="F328" s="573"/>
      <c r="G328" s="573"/>
      <c r="H328" s="573"/>
      <c r="I328" s="573"/>
      <c r="J328" s="573"/>
      <c r="K328" s="573"/>
      <c r="L328" s="573"/>
    </row>
    <row r="329" spans="2:12" ht="31.5" customHeight="1" x14ac:dyDescent="0.25">
      <c r="B329" s="578">
        <v>7</v>
      </c>
      <c r="C329" s="573"/>
      <c r="D329" s="573"/>
      <c r="E329" s="573"/>
      <c r="F329" s="573"/>
      <c r="G329" s="573"/>
      <c r="H329" s="573"/>
      <c r="I329" s="573"/>
      <c r="J329" s="573"/>
      <c r="K329" s="573"/>
      <c r="L329" s="573"/>
    </row>
    <row r="330" spans="2:12" ht="31.5" customHeight="1" x14ac:dyDescent="0.25">
      <c r="B330" s="578">
        <v>8</v>
      </c>
      <c r="C330" s="573"/>
      <c r="D330" s="573"/>
      <c r="E330" s="573"/>
      <c r="F330" s="573"/>
      <c r="G330" s="573"/>
      <c r="H330" s="573"/>
      <c r="I330" s="573"/>
      <c r="J330" s="573"/>
      <c r="K330" s="573"/>
      <c r="L330" s="573"/>
    </row>
    <row r="331" spans="2:12" ht="31.5" customHeight="1" x14ac:dyDescent="0.25">
      <c r="B331" s="578">
        <v>9</v>
      </c>
      <c r="C331" s="573"/>
      <c r="D331" s="573"/>
      <c r="E331" s="573"/>
      <c r="F331" s="573"/>
      <c r="G331" s="573"/>
      <c r="H331" s="573"/>
      <c r="I331" s="573"/>
      <c r="J331" s="573"/>
      <c r="K331" s="573"/>
      <c r="L331" s="573"/>
    </row>
    <row r="332" spans="2:12" ht="31.5" customHeight="1" x14ac:dyDescent="0.25">
      <c r="B332" s="578">
        <v>10</v>
      </c>
      <c r="C332" s="573"/>
      <c r="D332" s="573"/>
      <c r="E332" s="573"/>
      <c r="F332" s="573"/>
      <c r="G332" s="573"/>
      <c r="H332" s="573"/>
      <c r="I332" s="573"/>
      <c r="J332" s="573"/>
      <c r="K332" s="573"/>
      <c r="L332" s="573"/>
    </row>
    <row r="333" spans="2:12" ht="31.5" customHeight="1" x14ac:dyDescent="0.25">
      <c r="B333" s="578">
        <v>11</v>
      </c>
      <c r="C333" s="573"/>
      <c r="D333" s="573"/>
      <c r="E333" s="573"/>
      <c r="F333" s="573"/>
      <c r="G333" s="573"/>
      <c r="H333" s="573"/>
      <c r="I333" s="573"/>
      <c r="J333" s="573"/>
      <c r="K333" s="573"/>
      <c r="L333" s="573"/>
    </row>
    <row r="334" spans="2:12" ht="31.5" customHeight="1" thickBot="1" x14ac:dyDescent="0.3">
      <c r="B334" s="579">
        <v>12</v>
      </c>
      <c r="C334" s="574"/>
      <c r="D334" s="574"/>
      <c r="E334" s="574"/>
      <c r="F334" s="574"/>
      <c r="G334" s="574"/>
      <c r="H334" s="574"/>
      <c r="I334" s="574"/>
      <c r="J334" s="574"/>
      <c r="K334" s="574"/>
      <c r="L334" s="574"/>
    </row>
    <row r="335" spans="2:12" ht="6" customHeight="1" x14ac:dyDescent="0.25"/>
    <row r="336" spans="2:12" ht="24" customHeight="1" x14ac:dyDescent="0.25">
      <c r="B336" s="700" t="s">
        <v>6190</v>
      </c>
      <c r="C336" s="700"/>
      <c r="D336" s="700"/>
      <c r="E336" s="700"/>
      <c r="F336" s="700"/>
      <c r="G336" s="700"/>
      <c r="H336" s="700"/>
      <c r="I336" s="700"/>
      <c r="J336" s="700"/>
      <c r="K336" s="700"/>
      <c r="L336" s="700"/>
    </row>
    <row r="337" spans="2:12" ht="24" customHeight="1" x14ac:dyDescent="0.25">
      <c r="B337" s="700"/>
      <c r="C337" s="700"/>
      <c r="D337" s="700"/>
      <c r="E337" s="700"/>
      <c r="F337" s="700"/>
      <c r="G337" s="700"/>
      <c r="H337" s="700"/>
      <c r="I337" s="700"/>
      <c r="J337" s="700"/>
      <c r="K337" s="700"/>
      <c r="L337" s="700"/>
    </row>
    <row r="338" spans="2:12" ht="16.5" customHeight="1" x14ac:dyDescent="0.25">
      <c r="F338" s="696" t="s">
        <v>6185</v>
      </c>
      <c r="G338" s="697"/>
      <c r="H338" s="697"/>
      <c r="I338" s="697"/>
      <c r="K338" s="699" t="s">
        <v>6180</v>
      </c>
      <c r="L338" s="616"/>
    </row>
    <row r="339" spans="2:12" ht="16.5" customHeight="1" thickBot="1" x14ac:dyDescent="0.3">
      <c r="F339" s="698"/>
      <c r="G339" s="698"/>
      <c r="H339" s="698"/>
      <c r="I339" s="698"/>
      <c r="K339" s="616"/>
      <c r="L339" s="616"/>
    </row>
    <row r="340" spans="2:12" ht="16.5" customHeight="1" x14ac:dyDescent="0.25">
      <c r="F340" s="690" t="str">
        <f>'Competition Menu'!E17</f>
        <v>Team 17</v>
      </c>
      <c r="G340" s="691"/>
      <c r="H340" s="691"/>
      <c r="I340" s="692"/>
      <c r="K340" s="639"/>
      <c r="L340" s="639"/>
    </row>
    <row r="341" spans="2:12" ht="16.5" customHeight="1" thickBot="1" x14ac:dyDescent="0.3">
      <c r="F341" s="693"/>
      <c r="G341" s="694"/>
      <c r="H341" s="694"/>
      <c r="I341" s="695"/>
    </row>
    <row r="342" spans="2:12" ht="11.25" customHeight="1" thickBot="1" x14ac:dyDescent="0.3"/>
    <row r="343" spans="2:12" ht="36" customHeight="1" thickBot="1" x14ac:dyDescent="0.3">
      <c r="B343" s="576" t="s">
        <v>6184</v>
      </c>
      <c r="C343" s="586" t="s">
        <v>6191</v>
      </c>
      <c r="D343" s="315" t="s">
        <v>6181</v>
      </c>
      <c r="E343" s="315" t="s">
        <v>6182</v>
      </c>
      <c r="F343" s="315" t="s">
        <v>6183</v>
      </c>
      <c r="G343" s="315" t="s">
        <v>56</v>
      </c>
      <c r="H343" s="315" t="s">
        <v>57</v>
      </c>
      <c r="I343" s="315" t="s">
        <v>58</v>
      </c>
      <c r="J343" s="315" t="s">
        <v>59</v>
      </c>
      <c r="K343" s="315" t="s">
        <v>60</v>
      </c>
      <c r="L343" s="315" t="s">
        <v>61</v>
      </c>
    </row>
    <row r="344" spans="2:12" ht="31.5" customHeight="1" x14ac:dyDescent="0.25">
      <c r="B344" s="577">
        <v>1</v>
      </c>
      <c r="C344" s="575"/>
      <c r="D344" s="575"/>
      <c r="E344" s="575"/>
      <c r="F344" s="575"/>
      <c r="G344" s="575"/>
      <c r="H344" s="575"/>
      <c r="I344" s="575"/>
      <c r="J344" s="575"/>
      <c r="K344" s="575"/>
      <c r="L344" s="575"/>
    </row>
    <row r="345" spans="2:12" ht="31.5" customHeight="1" x14ac:dyDescent="0.25">
      <c r="B345" s="578">
        <v>2</v>
      </c>
      <c r="C345" s="573"/>
      <c r="D345" s="573"/>
      <c r="E345" s="573"/>
      <c r="F345" s="573"/>
      <c r="G345" s="573"/>
      <c r="H345" s="573"/>
      <c r="I345" s="573"/>
      <c r="J345" s="573"/>
      <c r="K345" s="573"/>
      <c r="L345" s="573"/>
    </row>
    <row r="346" spans="2:12" ht="31.5" customHeight="1" x14ac:dyDescent="0.25">
      <c r="B346" s="578">
        <v>3</v>
      </c>
      <c r="C346" s="573"/>
      <c r="D346" s="573"/>
      <c r="E346" s="573"/>
      <c r="F346" s="573"/>
      <c r="G346" s="573"/>
      <c r="H346" s="573"/>
      <c r="I346" s="573"/>
      <c r="J346" s="573"/>
      <c r="K346" s="573"/>
      <c r="L346" s="573"/>
    </row>
    <row r="347" spans="2:12" ht="31.5" customHeight="1" x14ac:dyDescent="0.25">
      <c r="B347" s="578">
        <v>4</v>
      </c>
      <c r="C347" s="573"/>
      <c r="D347" s="573"/>
      <c r="E347" s="573"/>
      <c r="F347" s="573"/>
      <c r="G347" s="573"/>
      <c r="H347" s="573"/>
      <c r="I347" s="573"/>
      <c r="J347" s="573"/>
      <c r="K347" s="573"/>
      <c r="L347" s="573"/>
    </row>
    <row r="348" spans="2:12" ht="31.5" customHeight="1" x14ac:dyDescent="0.25">
      <c r="B348" s="578">
        <v>5</v>
      </c>
      <c r="C348" s="573"/>
      <c r="D348" s="573"/>
      <c r="E348" s="573"/>
      <c r="F348" s="573"/>
      <c r="G348" s="573"/>
      <c r="H348" s="573"/>
      <c r="I348" s="573"/>
      <c r="J348" s="573"/>
      <c r="K348" s="573"/>
      <c r="L348" s="573"/>
    </row>
    <row r="349" spans="2:12" ht="31.5" customHeight="1" x14ac:dyDescent="0.25">
      <c r="B349" s="578">
        <v>6</v>
      </c>
      <c r="C349" s="573"/>
      <c r="D349" s="573"/>
      <c r="E349" s="573"/>
      <c r="F349" s="573"/>
      <c r="G349" s="573"/>
      <c r="H349" s="573"/>
      <c r="I349" s="573"/>
      <c r="J349" s="573"/>
      <c r="K349" s="573"/>
      <c r="L349" s="573"/>
    </row>
    <row r="350" spans="2:12" ht="31.5" customHeight="1" x14ac:dyDescent="0.25">
      <c r="B350" s="578">
        <v>7</v>
      </c>
      <c r="C350" s="573"/>
      <c r="D350" s="573"/>
      <c r="E350" s="573"/>
      <c r="F350" s="573"/>
      <c r="G350" s="573"/>
      <c r="H350" s="573"/>
      <c r="I350" s="573"/>
      <c r="J350" s="573"/>
      <c r="K350" s="573"/>
      <c r="L350" s="573"/>
    </row>
    <row r="351" spans="2:12" ht="31.5" customHeight="1" x14ac:dyDescent="0.25">
      <c r="B351" s="578">
        <v>8</v>
      </c>
      <c r="C351" s="573"/>
      <c r="D351" s="573"/>
      <c r="E351" s="573"/>
      <c r="F351" s="573"/>
      <c r="G351" s="573"/>
      <c r="H351" s="573"/>
      <c r="I351" s="573"/>
      <c r="J351" s="573"/>
      <c r="K351" s="573"/>
      <c r="L351" s="573"/>
    </row>
    <row r="352" spans="2:12" ht="31.5" customHeight="1" x14ac:dyDescent="0.25">
      <c r="B352" s="578">
        <v>9</v>
      </c>
      <c r="C352" s="573"/>
      <c r="D352" s="573"/>
      <c r="E352" s="573"/>
      <c r="F352" s="573"/>
      <c r="G352" s="573"/>
      <c r="H352" s="573"/>
      <c r="I352" s="573"/>
      <c r="J352" s="573"/>
      <c r="K352" s="573"/>
      <c r="L352" s="573"/>
    </row>
    <row r="353" spans="2:12" ht="31.5" customHeight="1" x14ac:dyDescent="0.25">
      <c r="B353" s="578">
        <v>10</v>
      </c>
      <c r="C353" s="573"/>
      <c r="D353" s="573"/>
      <c r="E353" s="573"/>
      <c r="F353" s="573"/>
      <c r="G353" s="573"/>
      <c r="H353" s="573"/>
      <c r="I353" s="573"/>
      <c r="J353" s="573"/>
      <c r="K353" s="573"/>
      <c r="L353" s="573"/>
    </row>
    <row r="354" spans="2:12" ht="31.5" customHeight="1" x14ac:dyDescent="0.25">
      <c r="B354" s="578">
        <v>11</v>
      </c>
      <c r="C354" s="573"/>
      <c r="D354" s="573"/>
      <c r="E354" s="573"/>
      <c r="F354" s="573"/>
      <c r="G354" s="573"/>
      <c r="H354" s="573"/>
      <c r="I354" s="573"/>
      <c r="J354" s="573"/>
      <c r="K354" s="573"/>
      <c r="L354" s="573"/>
    </row>
    <row r="355" spans="2:12" ht="31.5" customHeight="1" thickBot="1" x14ac:dyDescent="0.3">
      <c r="B355" s="579">
        <v>12</v>
      </c>
      <c r="C355" s="574"/>
      <c r="D355" s="574"/>
      <c r="E355" s="574"/>
      <c r="F355" s="574"/>
      <c r="G355" s="574"/>
      <c r="H355" s="574"/>
      <c r="I355" s="574"/>
      <c r="J355" s="574"/>
      <c r="K355" s="574"/>
      <c r="L355" s="574"/>
    </row>
    <row r="356" spans="2:12" ht="6" customHeight="1" x14ac:dyDescent="0.25"/>
    <row r="357" spans="2:12" ht="24" customHeight="1" x14ac:dyDescent="0.25">
      <c r="B357" s="700" t="s">
        <v>6190</v>
      </c>
      <c r="C357" s="700"/>
      <c r="D357" s="700"/>
      <c r="E357" s="700"/>
      <c r="F357" s="700"/>
      <c r="G357" s="700"/>
      <c r="H357" s="700"/>
      <c r="I357" s="700"/>
      <c r="J357" s="700"/>
      <c r="K357" s="700"/>
      <c r="L357" s="700"/>
    </row>
    <row r="358" spans="2:12" ht="24" customHeight="1" x14ac:dyDescent="0.25">
      <c r="B358" s="700"/>
      <c r="C358" s="700"/>
      <c r="D358" s="700"/>
      <c r="E358" s="700"/>
      <c r="F358" s="700"/>
      <c r="G358" s="700"/>
      <c r="H358" s="700"/>
      <c r="I358" s="700"/>
      <c r="J358" s="700"/>
      <c r="K358" s="700"/>
      <c r="L358" s="700"/>
    </row>
    <row r="359" spans="2:12" ht="16.5" customHeight="1" x14ac:dyDescent="0.25">
      <c r="F359" s="696" t="s">
        <v>6185</v>
      </c>
      <c r="G359" s="697"/>
      <c r="H359" s="697"/>
      <c r="I359" s="697"/>
      <c r="K359" s="699" t="s">
        <v>6180</v>
      </c>
      <c r="L359" s="616"/>
    </row>
    <row r="360" spans="2:12" ht="16.5" customHeight="1" thickBot="1" x14ac:dyDescent="0.3">
      <c r="F360" s="698"/>
      <c r="G360" s="698"/>
      <c r="H360" s="698"/>
      <c r="I360" s="698"/>
      <c r="K360" s="616"/>
      <c r="L360" s="616"/>
    </row>
    <row r="361" spans="2:12" ht="16.5" customHeight="1" x14ac:dyDescent="0.25">
      <c r="F361" s="690" t="str">
        <f>'Competition Menu'!E18</f>
        <v>Team 18</v>
      </c>
      <c r="G361" s="691"/>
      <c r="H361" s="691"/>
      <c r="I361" s="692"/>
      <c r="K361" s="639"/>
      <c r="L361" s="639"/>
    </row>
    <row r="362" spans="2:12" ht="16.5" customHeight="1" thickBot="1" x14ac:dyDescent="0.3">
      <c r="F362" s="693"/>
      <c r="G362" s="694"/>
      <c r="H362" s="694"/>
      <c r="I362" s="695"/>
    </row>
    <row r="363" spans="2:12" ht="11.25" customHeight="1" thickBot="1" x14ac:dyDescent="0.3"/>
    <row r="364" spans="2:12" ht="36" customHeight="1" thickBot="1" x14ac:dyDescent="0.3">
      <c r="B364" s="576" t="s">
        <v>6184</v>
      </c>
      <c r="C364" s="586" t="s">
        <v>6191</v>
      </c>
      <c r="D364" s="315" t="s">
        <v>6181</v>
      </c>
      <c r="E364" s="315" t="s">
        <v>6182</v>
      </c>
      <c r="F364" s="315" t="s">
        <v>6183</v>
      </c>
      <c r="G364" s="315" t="s">
        <v>56</v>
      </c>
      <c r="H364" s="315" t="s">
        <v>57</v>
      </c>
      <c r="I364" s="315" t="s">
        <v>58</v>
      </c>
      <c r="J364" s="315" t="s">
        <v>59</v>
      </c>
      <c r="K364" s="315" t="s">
        <v>60</v>
      </c>
      <c r="L364" s="315" t="s">
        <v>61</v>
      </c>
    </row>
    <row r="365" spans="2:12" ht="31.5" customHeight="1" x14ac:dyDescent="0.25">
      <c r="B365" s="577">
        <v>1</v>
      </c>
      <c r="C365" s="575"/>
      <c r="D365" s="575"/>
      <c r="E365" s="575"/>
      <c r="F365" s="575"/>
      <c r="G365" s="575"/>
      <c r="H365" s="575"/>
      <c r="I365" s="575"/>
      <c r="J365" s="575"/>
      <c r="K365" s="575"/>
      <c r="L365" s="575"/>
    </row>
    <row r="366" spans="2:12" ht="31.5" customHeight="1" x14ac:dyDescent="0.25">
      <c r="B366" s="578">
        <v>2</v>
      </c>
      <c r="C366" s="573"/>
      <c r="D366" s="573"/>
      <c r="E366" s="573"/>
      <c r="F366" s="573"/>
      <c r="G366" s="573"/>
      <c r="H366" s="573"/>
      <c r="I366" s="573"/>
      <c r="J366" s="573"/>
      <c r="K366" s="573"/>
      <c r="L366" s="573"/>
    </row>
    <row r="367" spans="2:12" ht="31.5" customHeight="1" x14ac:dyDescent="0.25">
      <c r="B367" s="578">
        <v>3</v>
      </c>
      <c r="C367" s="573"/>
      <c r="D367" s="573"/>
      <c r="E367" s="573"/>
      <c r="F367" s="573"/>
      <c r="G367" s="573"/>
      <c r="H367" s="573"/>
      <c r="I367" s="573"/>
      <c r="J367" s="573"/>
      <c r="K367" s="573"/>
      <c r="L367" s="573"/>
    </row>
    <row r="368" spans="2:12" ht="31.5" customHeight="1" x14ac:dyDescent="0.25">
      <c r="B368" s="578">
        <v>4</v>
      </c>
      <c r="C368" s="573"/>
      <c r="D368" s="573"/>
      <c r="E368" s="573"/>
      <c r="F368" s="573"/>
      <c r="G368" s="573"/>
      <c r="H368" s="573"/>
      <c r="I368" s="573"/>
      <c r="J368" s="573"/>
      <c r="K368" s="573"/>
      <c r="L368" s="573"/>
    </row>
    <row r="369" spans="2:12" ht="31.5" customHeight="1" x14ac:dyDescent="0.25">
      <c r="B369" s="578">
        <v>5</v>
      </c>
      <c r="C369" s="573"/>
      <c r="D369" s="573"/>
      <c r="E369" s="573"/>
      <c r="F369" s="573"/>
      <c r="G369" s="573"/>
      <c r="H369" s="573"/>
      <c r="I369" s="573"/>
      <c r="J369" s="573"/>
      <c r="K369" s="573"/>
      <c r="L369" s="573"/>
    </row>
    <row r="370" spans="2:12" ht="31.5" customHeight="1" x14ac:dyDescent="0.25">
      <c r="B370" s="578">
        <v>6</v>
      </c>
      <c r="C370" s="573"/>
      <c r="D370" s="573"/>
      <c r="E370" s="573"/>
      <c r="F370" s="573"/>
      <c r="G370" s="573"/>
      <c r="H370" s="573"/>
      <c r="I370" s="573"/>
      <c r="J370" s="573"/>
      <c r="K370" s="573"/>
      <c r="L370" s="573"/>
    </row>
    <row r="371" spans="2:12" ht="31.5" customHeight="1" x14ac:dyDescent="0.25">
      <c r="B371" s="578">
        <v>7</v>
      </c>
      <c r="C371" s="573"/>
      <c r="D371" s="573"/>
      <c r="E371" s="573"/>
      <c r="F371" s="573"/>
      <c r="G371" s="573"/>
      <c r="H371" s="573"/>
      <c r="I371" s="573"/>
      <c r="J371" s="573"/>
      <c r="K371" s="573"/>
      <c r="L371" s="573"/>
    </row>
    <row r="372" spans="2:12" ht="31.5" customHeight="1" x14ac:dyDescent="0.25">
      <c r="B372" s="578">
        <v>8</v>
      </c>
      <c r="C372" s="573"/>
      <c r="D372" s="573"/>
      <c r="E372" s="573"/>
      <c r="F372" s="573"/>
      <c r="G372" s="573"/>
      <c r="H372" s="573"/>
      <c r="I372" s="573"/>
      <c r="J372" s="573"/>
      <c r="K372" s="573"/>
      <c r="L372" s="573"/>
    </row>
    <row r="373" spans="2:12" ht="31.5" customHeight="1" x14ac:dyDescent="0.25">
      <c r="B373" s="578">
        <v>9</v>
      </c>
      <c r="C373" s="573"/>
      <c r="D373" s="573"/>
      <c r="E373" s="573"/>
      <c r="F373" s="573"/>
      <c r="G373" s="573"/>
      <c r="H373" s="573"/>
      <c r="I373" s="573"/>
      <c r="J373" s="573"/>
      <c r="K373" s="573"/>
      <c r="L373" s="573"/>
    </row>
    <row r="374" spans="2:12" ht="31.5" customHeight="1" x14ac:dyDescent="0.25">
      <c r="B374" s="578">
        <v>10</v>
      </c>
      <c r="C374" s="573"/>
      <c r="D374" s="573"/>
      <c r="E374" s="573"/>
      <c r="F374" s="573"/>
      <c r="G374" s="573"/>
      <c r="H374" s="573"/>
      <c r="I374" s="573"/>
      <c r="J374" s="573"/>
      <c r="K374" s="573"/>
      <c r="L374" s="573"/>
    </row>
    <row r="375" spans="2:12" ht="31.5" customHeight="1" x14ac:dyDescent="0.25">
      <c r="B375" s="578">
        <v>11</v>
      </c>
      <c r="C375" s="573"/>
      <c r="D375" s="573"/>
      <c r="E375" s="573"/>
      <c r="F375" s="573"/>
      <c r="G375" s="573"/>
      <c r="H375" s="573"/>
      <c r="I375" s="573"/>
      <c r="J375" s="573"/>
      <c r="K375" s="573"/>
      <c r="L375" s="573"/>
    </row>
    <row r="376" spans="2:12" ht="31.5" customHeight="1" thickBot="1" x14ac:dyDescent="0.3">
      <c r="B376" s="579">
        <v>12</v>
      </c>
      <c r="C376" s="574"/>
      <c r="D376" s="574"/>
      <c r="E376" s="574"/>
      <c r="F376" s="574"/>
      <c r="G376" s="574"/>
      <c r="H376" s="574"/>
      <c r="I376" s="574"/>
      <c r="J376" s="574"/>
      <c r="K376" s="574"/>
      <c r="L376" s="574"/>
    </row>
    <row r="377" spans="2:12" ht="6" customHeight="1" x14ac:dyDescent="0.25"/>
    <row r="378" spans="2:12" ht="24" customHeight="1" x14ac:dyDescent="0.25">
      <c r="B378" s="700" t="s">
        <v>6190</v>
      </c>
      <c r="C378" s="700"/>
      <c r="D378" s="700"/>
      <c r="E378" s="700"/>
      <c r="F378" s="700"/>
      <c r="G378" s="700"/>
      <c r="H378" s="700"/>
      <c r="I378" s="700"/>
      <c r="J378" s="700"/>
      <c r="K378" s="700"/>
      <c r="L378" s="700"/>
    </row>
    <row r="379" spans="2:12" ht="24" customHeight="1" x14ac:dyDescent="0.25">
      <c r="B379" s="700"/>
      <c r="C379" s="700"/>
      <c r="D379" s="700"/>
      <c r="E379" s="700"/>
      <c r="F379" s="700"/>
      <c r="G379" s="700"/>
      <c r="H379" s="700"/>
      <c r="I379" s="700"/>
      <c r="J379" s="700"/>
      <c r="K379" s="700"/>
      <c r="L379" s="700"/>
    </row>
    <row r="380" spans="2:12" ht="16.5" customHeight="1" x14ac:dyDescent="0.25">
      <c r="F380" s="696" t="s">
        <v>6185</v>
      </c>
      <c r="G380" s="697"/>
      <c r="H380" s="697"/>
      <c r="I380" s="697"/>
      <c r="K380" s="699" t="s">
        <v>6180</v>
      </c>
      <c r="L380" s="616"/>
    </row>
    <row r="381" spans="2:12" ht="16.5" customHeight="1" thickBot="1" x14ac:dyDescent="0.3">
      <c r="F381" s="698"/>
      <c r="G381" s="698"/>
      <c r="H381" s="698"/>
      <c r="I381" s="698"/>
      <c r="K381" s="616"/>
      <c r="L381" s="616"/>
    </row>
    <row r="382" spans="2:12" ht="16.5" customHeight="1" x14ac:dyDescent="0.25">
      <c r="F382" s="690" t="str">
        <f>'Competition Menu'!E19</f>
        <v>Team 19</v>
      </c>
      <c r="G382" s="691"/>
      <c r="H382" s="691"/>
      <c r="I382" s="692"/>
      <c r="K382" s="639"/>
      <c r="L382" s="639"/>
    </row>
    <row r="383" spans="2:12" ht="16.5" customHeight="1" thickBot="1" x14ac:dyDescent="0.3">
      <c r="F383" s="693"/>
      <c r="G383" s="694"/>
      <c r="H383" s="694"/>
      <c r="I383" s="695"/>
    </row>
    <row r="384" spans="2:12" ht="11.25" customHeight="1" thickBot="1" x14ac:dyDescent="0.3"/>
    <row r="385" spans="2:12" ht="36" customHeight="1" thickBot="1" x14ac:dyDescent="0.3">
      <c r="B385" s="576" t="s">
        <v>6184</v>
      </c>
      <c r="C385" s="586" t="s">
        <v>6191</v>
      </c>
      <c r="D385" s="315" t="s">
        <v>6181</v>
      </c>
      <c r="E385" s="315" t="s">
        <v>6182</v>
      </c>
      <c r="F385" s="315" t="s">
        <v>6183</v>
      </c>
      <c r="G385" s="315" t="s">
        <v>56</v>
      </c>
      <c r="H385" s="315" t="s">
        <v>57</v>
      </c>
      <c r="I385" s="315" t="s">
        <v>58</v>
      </c>
      <c r="J385" s="315" t="s">
        <v>59</v>
      </c>
      <c r="K385" s="315" t="s">
        <v>60</v>
      </c>
      <c r="L385" s="315" t="s">
        <v>61</v>
      </c>
    </row>
    <row r="386" spans="2:12" ht="31.5" customHeight="1" x14ac:dyDescent="0.25">
      <c r="B386" s="577">
        <v>1</v>
      </c>
      <c r="C386" s="575"/>
      <c r="D386" s="575"/>
      <c r="E386" s="575"/>
      <c r="F386" s="575"/>
      <c r="G386" s="575"/>
      <c r="H386" s="575"/>
      <c r="I386" s="575"/>
      <c r="J386" s="575"/>
      <c r="K386" s="575"/>
      <c r="L386" s="575"/>
    </row>
    <row r="387" spans="2:12" ht="31.5" customHeight="1" x14ac:dyDescent="0.25">
      <c r="B387" s="578">
        <v>2</v>
      </c>
      <c r="C387" s="573"/>
      <c r="D387" s="573"/>
      <c r="E387" s="573"/>
      <c r="F387" s="573"/>
      <c r="G387" s="573"/>
      <c r="H387" s="573"/>
      <c r="I387" s="573"/>
      <c r="J387" s="573"/>
      <c r="K387" s="573"/>
      <c r="L387" s="573"/>
    </row>
    <row r="388" spans="2:12" ht="31.5" customHeight="1" x14ac:dyDescent="0.25">
      <c r="B388" s="578">
        <v>3</v>
      </c>
      <c r="C388" s="573"/>
      <c r="D388" s="573"/>
      <c r="E388" s="573"/>
      <c r="F388" s="573"/>
      <c r="G388" s="573"/>
      <c r="H388" s="573"/>
      <c r="I388" s="573"/>
      <c r="J388" s="573"/>
      <c r="K388" s="573"/>
      <c r="L388" s="573"/>
    </row>
    <row r="389" spans="2:12" ht="31.5" customHeight="1" x14ac:dyDescent="0.25">
      <c r="B389" s="578">
        <v>4</v>
      </c>
      <c r="C389" s="573"/>
      <c r="D389" s="573"/>
      <c r="E389" s="573"/>
      <c r="F389" s="573"/>
      <c r="G389" s="573"/>
      <c r="H389" s="573"/>
      <c r="I389" s="573"/>
      <c r="J389" s="573"/>
      <c r="K389" s="573"/>
      <c r="L389" s="573"/>
    </row>
    <row r="390" spans="2:12" ht="31.5" customHeight="1" x14ac:dyDescent="0.25">
      <c r="B390" s="578">
        <v>5</v>
      </c>
      <c r="C390" s="573"/>
      <c r="D390" s="573"/>
      <c r="E390" s="573"/>
      <c r="F390" s="573"/>
      <c r="G390" s="573"/>
      <c r="H390" s="573"/>
      <c r="I390" s="573"/>
      <c r="J390" s="573"/>
      <c r="K390" s="573"/>
      <c r="L390" s="573"/>
    </row>
    <row r="391" spans="2:12" ht="31.5" customHeight="1" x14ac:dyDescent="0.25">
      <c r="B391" s="578">
        <v>6</v>
      </c>
      <c r="C391" s="573"/>
      <c r="D391" s="573"/>
      <c r="E391" s="573"/>
      <c r="F391" s="573"/>
      <c r="G391" s="573"/>
      <c r="H391" s="573"/>
      <c r="I391" s="573"/>
      <c r="J391" s="573"/>
      <c r="K391" s="573"/>
      <c r="L391" s="573"/>
    </row>
    <row r="392" spans="2:12" ht="31.5" customHeight="1" x14ac:dyDescent="0.25">
      <c r="B392" s="578">
        <v>7</v>
      </c>
      <c r="C392" s="573"/>
      <c r="D392" s="573"/>
      <c r="E392" s="573"/>
      <c r="F392" s="573"/>
      <c r="G392" s="573"/>
      <c r="H392" s="573"/>
      <c r="I392" s="573"/>
      <c r="J392" s="573"/>
      <c r="K392" s="573"/>
      <c r="L392" s="573"/>
    </row>
    <row r="393" spans="2:12" ht="31.5" customHeight="1" x14ac:dyDescent="0.25">
      <c r="B393" s="578">
        <v>8</v>
      </c>
      <c r="C393" s="573"/>
      <c r="D393" s="573"/>
      <c r="E393" s="573"/>
      <c r="F393" s="573"/>
      <c r="G393" s="573"/>
      <c r="H393" s="573"/>
      <c r="I393" s="573"/>
      <c r="J393" s="573"/>
      <c r="K393" s="573"/>
      <c r="L393" s="573"/>
    </row>
    <row r="394" spans="2:12" ht="31.5" customHeight="1" x14ac:dyDescent="0.25">
      <c r="B394" s="578">
        <v>9</v>
      </c>
      <c r="C394" s="573"/>
      <c r="D394" s="573"/>
      <c r="E394" s="573"/>
      <c r="F394" s="573"/>
      <c r="G394" s="573"/>
      <c r="H394" s="573"/>
      <c r="I394" s="573"/>
      <c r="J394" s="573"/>
      <c r="K394" s="573"/>
      <c r="L394" s="573"/>
    </row>
    <row r="395" spans="2:12" ht="31.5" customHeight="1" x14ac:dyDescent="0.25">
      <c r="B395" s="578">
        <v>10</v>
      </c>
      <c r="C395" s="573"/>
      <c r="D395" s="573"/>
      <c r="E395" s="573"/>
      <c r="F395" s="573"/>
      <c r="G395" s="573"/>
      <c r="H395" s="573"/>
      <c r="I395" s="573"/>
      <c r="J395" s="573"/>
      <c r="K395" s="573"/>
      <c r="L395" s="573"/>
    </row>
    <row r="396" spans="2:12" ht="31.5" customHeight="1" x14ac:dyDescent="0.25">
      <c r="B396" s="578">
        <v>11</v>
      </c>
      <c r="C396" s="573"/>
      <c r="D396" s="573"/>
      <c r="E396" s="573"/>
      <c r="F396" s="573"/>
      <c r="G396" s="573"/>
      <c r="H396" s="573"/>
      <c r="I396" s="573"/>
      <c r="J396" s="573"/>
      <c r="K396" s="573"/>
      <c r="L396" s="573"/>
    </row>
    <row r="397" spans="2:12" ht="31.5" customHeight="1" thickBot="1" x14ac:dyDescent="0.3">
      <c r="B397" s="579">
        <v>12</v>
      </c>
      <c r="C397" s="574"/>
      <c r="D397" s="574"/>
      <c r="E397" s="574"/>
      <c r="F397" s="574"/>
      <c r="G397" s="574"/>
      <c r="H397" s="574"/>
      <c r="I397" s="574"/>
      <c r="J397" s="574"/>
      <c r="K397" s="574"/>
      <c r="L397" s="574"/>
    </row>
    <row r="398" spans="2:12" ht="6" customHeight="1" x14ac:dyDescent="0.25"/>
    <row r="399" spans="2:12" ht="24" customHeight="1" x14ac:dyDescent="0.25">
      <c r="B399" s="700" t="s">
        <v>6190</v>
      </c>
      <c r="C399" s="700"/>
      <c r="D399" s="700"/>
      <c r="E399" s="700"/>
      <c r="F399" s="700"/>
      <c r="G399" s="700"/>
      <c r="H399" s="700"/>
      <c r="I399" s="700"/>
      <c r="J399" s="700"/>
      <c r="K399" s="700"/>
      <c r="L399" s="700"/>
    </row>
    <row r="400" spans="2:12" ht="24" customHeight="1" x14ac:dyDescent="0.25">
      <c r="B400" s="700"/>
      <c r="C400" s="700"/>
      <c r="D400" s="700"/>
      <c r="E400" s="700"/>
      <c r="F400" s="700"/>
      <c r="G400" s="700"/>
      <c r="H400" s="700"/>
      <c r="I400" s="700"/>
      <c r="J400" s="700"/>
      <c r="K400" s="700"/>
      <c r="L400" s="700"/>
    </row>
    <row r="401" spans="2:12" ht="16.5" customHeight="1" x14ac:dyDescent="0.25">
      <c r="F401" s="696" t="s">
        <v>6185</v>
      </c>
      <c r="G401" s="697"/>
      <c r="H401" s="697"/>
      <c r="I401" s="697"/>
      <c r="K401" s="699" t="s">
        <v>6180</v>
      </c>
      <c r="L401" s="616"/>
    </row>
    <row r="402" spans="2:12" ht="16.5" customHeight="1" thickBot="1" x14ac:dyDescent="0.3">
      <c r="F402" s="698"/>
      <c r="G402" s="698"/>
      <c r="H402" s="698"/>
      <c r="I402" s="698"/>
      <c r="K402" s="616"/>
      <c r="L402" s="616"/>
    </row>
    <row r="403" spans="2:12" ht="16.5" customHeight="1" x14ac:dyDescent="0.25">
      <c r="F403" s="690" t="str">
        <f>'Competition Menu'!E20</f>
        <v>Team 20</v>
      </c>
      <c r="G403" s="691"/>
      <c r="H403" s="691"/>
      <c r="I403" s="692"/>
      <c r="K403" s="639"/>
      <c r="L403" s="639"/>
    </row>
    <row r="404" spans="2:12" ht="16.5" customHeight="1" thickBot="1" x14ac:dyDescent="0.3">
      <c r="F404" s="693"/>
      <c r="G404" s="694"/>
      <c r="H404" s="694"/>
      <c r="I404" s="695"/>
    </row>
    <row r="405" spans="2:12" ht="11.25" customHeight="1" thickBot="1" x14ac:dyDescent="0.3"/>
    <row r="406" spans="2:12" ht="36" customHeight="1" thickBot="1" x14ac:dyDescent="0.3">
      <c r="B406" s="576" t="s">
        <v>6184</v>
      </c>
      <c r="C406" s="586" t="s">
        <v>6191</v>
      </c>
      <c r="D406" s="315" t="s">
        <v>6181</v>
      </c>
      <c r="E406" s="315" t="s">
        <v>6182</v>
      </c>
      <c r="F406" s="315" t="s">
        <v>6183</v>
      </c>
      <c r="G406" s="315" t="s">
        <v>56</v>
      </c>
      <c r="H406" s="315" t="s">
        <v>57</v>
      </c>
      <c r="I406" s="315" t="s">
        <v>58</v>
      </c>
      <c r="J406" s="315" t="s">
        <v>59</v>
      </c>
      <c r="K406" s="315" t="s">
        <v>60</v>
      </c>
      <c r="L406" s="315" t="s">
        <v>61</v>
      </c>
    </row>
    <row r="407" spans="2:12" ht="31.5" customHeight="1" x14ac:dyDescent="0.25">
      <c r="B407" s="577">
        <v>1</v>
      </c>
      <c r="C407" s="575"/>
      <c r="D407" s="575"/>
      <c r="E407" s="575"/>
      <c r="F407" s="575"/>
      <c r="G407" s="575"/>
      <c r="H407" s="575"/>
      <c r="I407" s="575"/>
      <c r="J407" s="575"/>
      <c r="K407" s="575"/>
      <c r="L407" s="575"/>
    </row>
    <row r="408" spans="2:12" ht="31.5" customHeight="1" x14ac:dyDescent="0.25">
      <c r="B408" s="578">
        <v>2</v>
      </c>
      <c r="C408" s="573"/>
      <c r="D408" s="573"/>
      <c r="E408" s="573"/>
      <c r="F408" s="573"/>
      <c r="G408" s="573"/>
      <c r="H408" s="573"/>
      <c r="I408" s="573"/>
      <c r="J408" s="573"/>
      <c r="K408" s="573"/>
      <c r="L408" s="573"/>
    </row>
    <row r="409" spans="2:12" ht="31.5" customHeight="1" x14ac:dyDescent="0.25">
      <c r="B409" s="578">
        <v>3</v>
      </c>
      <c r="C409" s="573"/>
      <c r="D409" s="573"/>
      <c r="E409" s="573"/>
      <c r="F409" s="573"/>
      <c r="G409" s="573"/>
      <c r="H409" s="573"/>
      <c r="I409" s="573"/>
      <c r="J409" s="573"/>
      <c r="K409" s="573"/>
      <c r="L409" s="573"/>
    </row>
    <row r="410" spans="2:12" ht="31.5" customHeight="1" x14ac:dyDescent="0.25">
      <c r="B410" s="578">
        <v>4</v>
      </c>
      <c r="C410" s="573"/>
      <c r="D410" s="573"/>
      <c r="E410" s="573"/>
      <c r="F410" s="573"/>
      <c r="G410" s="573"/>
      <c r="H410" s="573"/>
      <c r="I410" s="573"/>
      <c r="J410" s="573"/>
      <c r="K410" s="573"/>
      <c r="L410" s="573"/>
    </row>
    <row r="411" spans="2:12" ht="31.5" customHeight="1" x14ac:dyDescent="0.25">
      <c r="B411" s="578">
        <v>5</v>
      </c>
      <c r="C411" s="573"/>
      <c r="D411" s="573"/>
      <c r="E411" s="573"/>
      <c r="F411" s="573"/>
      <c r="G411" s="573"/>
      <c r="H411" s="573"/>
      <c r="I411" s="573"/>
      <c r="J411" s="573"/>
      <c r="K411" s="573"/>
      <c r="L411" s="573"/>
    </row>
    <row r="412" spans="2:12" ht="31.5" customHeight="1" x14ac:dyDescent="0.25">
      <c r="B412" s="578">
        <v>6</v>
      </c>
      <c r="C412" s="573"/>
      <c r="D412" s="573"/>
      <c r="E412" s="573"/>
      <c r="F412" s="573"/>
      <c r="G412" s="573"/>
      <c r="H412" s="573"/>
      <c r="I412" s="573"/>
      <c r="J412" s="573"/>
      <c r="K412" s="573"/>
      <c r="L412" s="573"/>
    </row>
    <row r="413" spans="2:12" ht="31.5" customHeight="1" x14ac:dyDescent="0.25">
      <c r="B413" s="578">
        <v>7</v>
      </c>
      <c r="C413" s="573"/>
      <c r="D413" s="573"/>
      <c r="E413" s="573"/>
      <c r="F413" s="573"/>
      <c r="G413" s="573"/>
      <c r="H413" s="573"/>
      <c r="I413" s="573"/>
      <c r="J413" s="573"/>
      <c r="K413" s="573"/>
      <c r="L413" s="573"/>
    </row>
    <row r="414" spans="2:12" ht="31.5" customHeight="1" x14ac:dyDescent="0.25">
      <c r="B414" s="578">
        <v>8</v>
      </c>
      <c r="C414" s="573"/>
      <c r="D414" s="573"/>
      <c r="E414" s="573"/>
      <c r="F414" s="573"/>
      <c r="G414" s="573"/>
      <c r="H414" s="573"/>
      <c r="I414" s="573"/>
      <c r="J414" s="573"/>
      <c r="K414" s="573"/>
      <c r="L414" s="573"/>
    </row>
    <row r="415" spans="2:12" ht="31.5" customHeight="1" x14ac:dyDescent="0.25">
      <c r="B415" s="578">
        <v>9</v>
      </c>
      <c r="C415" s="573"/>
      <c r="D415" s="573"/>
      <c r="E415" s="573"/>
      <c r="F415" s="573"/>
      <c r="G415" s="573"/>
      <c r="H415" s="573"/>
      <c r="I415" s="573"/>
      <c r="J415" s="573"/>
      <c r="K415" s="573"/>
      <c r="L415" s="573"/>
    </row>
    <row r="416" spans="2:12" ht="31.5" customHeight="1" x14ac:dyDescent="0.25">
      <c r="B416" s="578">
        <v>10</v>
      </c>
      <c r="C416" s="573"/>
      <c r="D416" s="573"/>
      <c r="E416" s="573"/>
      <c r="F416" s="573"/>
      <c r="G416" s="573"/>
      <c r="H416" s="573"/>
      <c r="I416" s="573"/>
      <c r="J416" s="573"/>
      <c r="K416" s="573"/>
      <c r="L416" s="573"/>
    </row>
    <row r="417" spans="2:12" ht="31.5" customHeight="1" x14ac:dyDescent="0.25">
      <c r="B417" s="578">
        <v>11</v>
      </c>
      <c r="C417" s="573"/>
      <c r="D417" s="573"/>
      <c r="E417" s="573"/>
      <c r="F417" s="573"/>
      <c r="G417" s="573"/>
      <c r="H417" s="573"/>
      <c r="I417" s="573"/>
      <c r="J417" s="573"/>
      <c r="K417" s="573"/>
      <c r="L417" s="573"/>
    </row>
    <row r="418" spans="2:12" ht="31.5" customHeight="1" thickBot="1" x14ac:dyDescent="0.3">
      <c r="B418" s="579">
        <v>12</v>
      </c>
      <c r="C418" s="574"/>
      <c r="D418" s="574"/>
      <c r="E418" s="574"/>
      <c r="F418" s="574"/>
      <c r="G418" s="574"/>
      <c r="H418" s="574"/>
      <c r="I418" s="574"/>
      <c r="J418" s="574"/>
      <c r="K418" s="574"/>
      <c r="L418" s="574"/>
    </row>
    <row r="420" spans="2:12" ht="24" customHeight="1" x14ac:dyDescent="0.25">
      <c r="B420" s="700" t="s">
        <v>6190</v>
      </c>
      <c r="C420" s="700"/>
      <c r="D420" s="700"/>
      <c r="E420" s="700"/>
      <c r="F420" s="700"/>
      <c r="G420" s="700"/>
      <c r="H420" s="700"/>
      <c r="I420" s="700"/>
      <c r="J420" s="700"/>
      <c r="K420" s="700"/>
      <c r="L420" s="700"/>
    </row>
    <row r="421" spans="2:12" ht="24" customHeight="1" x14ac:dyDescent="0.25">
      <c r="B421" s="700"/>
      <c r="C421" s="700"/>
      <c r="D421" s="700"/>
      <c r="E421" s="700"/>
      <c r="F421" s="700"/>
      <c r="G421" s="700"/>
      <c r="H421" s="700"/>
      <c r="I421" s="700"/>
      <c r="J421" s="700"/>
      <c r="K421" s="700"/>
      <c r="L421" s="700"/>
    </row>
  </sheetData>
  <mergeCells count="80">
    <mergeCell ref="B336:L337"/>
    <mergeCell ref="B357:L358"/>
    <mergeCell ref="B378:L379"/>
    <mergeCell ref="B399:L400"/>
    <mergeCell ref="B420:L421"/>
    <mergeCell ref="F338:I339"/>
    <mergeCell ref="K338:L340"/>
    <mergeCell ref="F340:I341"/>
    <mergeCell ref="F401:I402"/>
    <mergeCell ref="K401:L403"/>
    <mergeCell ref="B210:L211"/>
    <mergeCell ref="B231:L232"/>
    <mergeCell ref="B252:L253"/>
    <mergeCell ref="B273:L274"/>
    <mergeCell ref="B294:L295"/>
    <mergeCell ref="F212:I213"/>
    <mergeCell ref="K212:L214"/>
    <mergeCell ref="F214:I215"/>
    <mergeCell ref="F233:I234"/>
    <mergeCell ref="K233:L235"/>
    <mergeCell ref="B42:L43"/>
    <mergeCell ref="B63:L64"/>
    <mergeCell ref="B84:L85"/>
    <mergeCell ref="B105:L106"/>
    <mergeCell ref="B126:L127"/>
    <mergeCell ref="B147:L148"/>
    <mergeCell ref="F44:I45"/>
    <mergeCell ref="K44:L46"/>
    <mergeCell ref="F46:I47"/>
    <mergeCell ref="F65:I66"/>
    <mergeCell ref="F4:I5"/>
    <mergeCell ref="F2:I3"/>
    <mergeCell ref="K2:L4"/>
    <mergeCell ref="F23:I24"/>
    <mergeCell ref="K23:L25"/>
    <mergeCell ref="F25:I26"/>
    <mergeCell ref="B21:L22"/>
    <mergeCell ref="K65:L67"/>
    <mergeCell ref="F67:I68"/>
    <mergeCell ref="F86:I87"/>
    <mergeCell ref="K86:L88"/>
    <mergeCell ref="F88:I89"/>
    <mergeCell ref="F107:I108"/>
    <mergeCell ref="K107:L109"/>
    <mergeCell ref="F109:I110"/>
    <mergeCell ref="F128:I129"/>
    <mergeCell ref="K128:L130"/>
    <mergeCell ref="F130:I131"/>
    <mergeCell ref="F149:I150"/>
    <mergeCell ref="K149:L151"/>
    <mergeCell ref="F151:I152"/>
    <mergeCell ref="F170:I171"/>
    <mergeCell ref="K170:L172"/>
    <mergeCell ref="F172:I173"/>
    <mergeCell ref="B168:L169"/>
    <mergeCell ref="F191:I192"/>
    <mergeCell ref="K191:L193"/>
    <mergeCell ref="F193:I194"/>
    <mergeCell ref="B189:L190"/>
    <mergeCell ref="F235:I236"/>
    <mergeCell ref="F254:I255"/>
    <mergeCell ref="K254:L256"/>
    <mergeCell ref="F256:I257"/>
    <mergeCell ref="F275:I276"/>
    <mergeCell ref="K275:L277"/>
    <mergeCell ref="F277:I278"/>
    <mergeCell ref="F296:I297"/>
    <mergeCell ref="K296:L298"/>
    <mergeCell ref="F298:I299"/>
    <mergeCell ref="F317:I318"/>
    <mergeCell ref="K317:L319"/>
    <mergeCell ref="F319:I320"/>
    <mergeCell ref="B315:L316"/>
    <mergeCell ref="F403:I404"/>
    <mergeCell ref="F359:I360"/>
    <mergeCell ref="K359:L361"/>
    <mergeCell ref="F361:I362"/>
    <mergeCell ref="F380:I381"/>
    <mergeCell ref="K380:L382"/>
    <mergeCell ref="F382:I383"/>
  </mergeCells>
  <pageMargins left="0.23622047244094491" right="0.23622047244094491" top="0.27559055118110237" bottom="0.3937007874015748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Guide</vt:lpstr>
      <vt:lpstr>Competition Menu</vt:lpstr>
      <vt:lpstr>Input</vt:lpstr>
      <vt:lpstr>Relays</vt:lpstr>
      <vt:lpstr>Team Scores</vt:lpstr>
      <vt:lpstr>Event Data Set</vt:lpstr>
      <vt:lpstr>Score Sheets</vt:lpstr>
      <vt:lpstr>Sheet2</vt:lpstr>
      <vt:lpstr>Scoresheets</vt:lpstr>
      <vt:lpstr>award1</vt:lpstr>
      <vt:lpstr>award11</vt:lpstr>
      <vt:lpstr>Balance</vt:lpstr>
      <vt:lpstr>points</vt:lpstr>
      <vt:lpstr>points1</vt:lpstr>
      <vt:lpstr>points11</vt:lpstr>
    </vt:vector>
  </TitlesOfParts>
  <Company>Eveque Leisure Equipment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dc:creator>
  <cp:lastModifiedBy>Adam Burgess</cp:lastModifiedBy>
  <cp:lastPrinted>2022-07-08T12:16:58Z</cp:lastPrinted>
  <dcterms:created xsi:type="dcterms:W3CDTF">2008-01-11T13:37:59Z</dcterms:created>
  <dcterms:modified xsi:type="dcterms:W3CDTF">2023-08-24T10:34:14Z</dcterms:modified>
</cp:coreProperties>
</file>